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f0a9464f0387433/1.UNIVERSIDAD ICE MEXICO_/Sesion ^N5/"/>
    </mc:Choice>
  </mc:AlternateContent>
  <xr:revisionPtr revIDLastSave="3" documentId="8_{0C16F402-9673-4970-99FD-4CFF4C5E29DD}" xr6:coauthVersionLast="47" xr6:coauthVersionMax="47" xr10:uidLastSave="{E3F4A191-5B19-4302-9220-C51D8263B59A}"/>
  <bookViews>
    <workbookView xWindow="-120" yWindow="-120" windowWidth="20730" windowHeight="11040" tabRatio="500" activeTab="1" xr2:uid="{00000000-000D-0000-FFFF-FFFF00000000}"/>
  </bookViews>
  <sheets>
    <sheet name="Resumen" sheetId="2" r:id="rId1"/>
    <sheet name="cedula R&amp;O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G10" i="5"/>
  <c r="G12" i="5" s="1"/>
  <c r="F9" i="5"/>
  <c r="F12" i="5" s="1"/>
  <c r="D19" i="2"/>
  <c r="G14" i="5" l="1"/>
  <c r="D20" i="2" l="1"/>
  <c r="E20" i="2" s="1"/>
  <c r="E19" i="2"/>
  <c r="D18" i="2"/>
  <c r="E18" i="2" s="1"/>
  <c r="D17" i="2"/>
  <c r="D16" i="2" s="1"/>
  <c r="E21" i="2"/>
  <c r="D21" i="2"/>
  <c r="D15" i="2"/>
  <c r="E15" i="2" s="1"/>
  <c r="D14" i="2"/>
  <c r="E14" i="2" s="1"/>
  <c r="D13" i="2"/>
  <c r="E13" i="2" s="1"/>
  <c r="F13" i="2" s="1"/>
  <c r="C29" i="2"/>
  <c r="C30" i="2"/>
  <c r="C27" i="2"/>
  <c r="C25" i="2"/>
  <c r="E22" i="2"/>
  <c r="D22" i="2"/>
  <c r="D12" i="2"/>
  <c r="C22" i="2"/>
  <c r="C21" i="2"/>
  <c r="C20" i="2"/>
  <c r="C19" i="2"/>
  <c r="C18" i="2"/>
  <c r="C17" i="2"/>
  <c r="C15" i="2"/>
  <c r="C14" i="2"/>
  <c r="C13" i="2"/>
  <c r="C12" i="2" s="1"/>
  <c r="E10" i="2"/>
  <c r="E6" i="2"/>
  <c r="F6" i="2" s="1"/>
  <c r="D7" i="2"/>
  <c r="D8" i="2"/>
  <c r="D9" i="2"/>
  <c r="D10" i="2"/>
  <c r="D6" i="2"/>
  <c r="D5" i="2"/>
  <c r="C7" i="2"/>
  <c r="C4" i="2"/>
  <c r="C3" i="2" s="1"/>
  <c r="E4" i="2"/>
  <c r="F24" i="2"/>
  <c r="F23" i="2"/>
  <c r="F21" i="2"/>
  <c r="E17" i="2" l="1"/>
  <c r="F18" i="2"/>
  <c r="F17" i="2"/>
  <c r="E16" i="2"/>
  <c r="D11" i="2"/>
  <c r="D25" i="2" s="1"/>
  <c r="D27" i="2" s="1"/>
  <c r="E30" i="2"/>
  <c r="E29" i="2" s="1"/>
  <c r="D30" i="2"/>
  <c r="D29" i="2" s="1"/>
  <c r="E12" i="2"/>
  <c r="E11" i="2" s="1"/>
  <c r="E25" i="2" s="1"/>
  <c r="E27" i="2" s="1"/>
  <c r="F14" i="2"/>
  <c r="F15" i="2"/>
  <c r="F19" i="2"/>
  <c r="F20" i="2"/>
  <c r="F5" i="2"/>
  <c r="C11" i="2"/>
  <c r="F7" i="2"/>
  <c r="D4" i="2"/>
  <c r="D3" i="2" s="1"/>
  <c r="E5" i="2"/>
  <c r="C16" i="2"/>
  <c r="E7" i="2"/>
  <c r="E9" i="2"/>
  <c r="F9" i="2" s="1"/>
  <c r="F10" i="2"/>
  <c r="E8" i="2"/>
  <c r="F8" i="2" s="1"/>
  <c r="J24" i="2"/>
  <c r="J23" i="2"/>
  <c r="I22" i="2"/>
  <c r="H22" i="2"/>
  <c r="J21" i="2"/>
  <c r="J20" i="2"/>
  <c r="J19" i="2"/>
  <c r="J18" i="2"/>
  <c r="J17" i="2"/>
  <c r="I16" i="2"/>
  <c r="H16" i="2"/>
  <c r="J15" i="2"/>
  <c r="J14" i="2"/>
  <c r="J13" i="2"/>
  <c r="I12" i="2"/>
  <c r="H12" i="2"/>
  <c r="J10" i="2"/>
  <c r="J9" i="2"/>
  <c r="J8" i="2"/>
  <c r="J7" i="2"/>
  <c r="J6" i="2"/>
  <c r="J5" i="2"/>
  <c r="J4" i="2"/>
  <c r="I3" i="2"/>
  <c r="H3" i="2"/>
  <c r="F12" i="2"/>
  <c r="F22" i="2"/>
  <c r="E3" i="2"/>
  <c r="F3" i="2" s="1"/>
  <c r="F4" i="2" l="1"/>
  <c r="F16" i="2"/>
  <c r="I11" i="2"/>
  <c r="I25" i="2" s="1"/>
  <c r="J12" i="2"/>
  <c r="F25" i="2"/>
  <c r="J16" i="2"/>
  <c r="J3" i="2"/>
  <c r="H11" i="2"/>
  <c r="H25" i="2"/>
  <c r="J22" i="2"/>
  <c r="F11" i="2" l="1"/>
  <c r="J11" i="2"/>
  <c r="J25" i="2"/>
</calcChain>
</file>

<file path=xl/sharedStrings.xml><?xml version="1.0" encoding="utf-8"?>
<sst xmlns="http://schemas.openxmlformats.org/spreadsheetml/2006/main" count="41" uniqueCount="40">
  <si>
    <t>REAL</t>
  </si>
  <si>
    <t>INGRESOS</t>
  </si>
  <si>
    <t>GASTOS</t>
  </si>
  <si>
    <t>Sueldos</t>
  </si>
  <si>
    <t>Gastos Fijos</t>
  </si>
  <si>
    <t>Pérdida / Utilidad</t>
  </si>
  <si>
    <t>Mantenimiento</t>
  </si>
  <si>
    <t>Fees</t>
  </si>
  <si>
    <t>Gastos Financieros</t>
  </si>
  <si>
    <t>Comisiones</t>
  </si>
  <si>
    <t>Intereses</t>
  </si>
  <si>
    <t>Rel. Públicas</t>
  </si>
  <si>
    <t>Medios Electrónicos</t>
  </si>
  <si>
    <t>Vida</t>
  </si>
  <si>
    <t>Gastos Médicos</t>
  </si>
  <si>
    <t>Autos</t>
  </si>
  <si>
    <t>Daños</t>
  </si>
  <si>
    <t>Bonos</t>
  </si>
  <si>
    <t>Atlas</t>
  </si>
  <si>
    <t>Qualitas</t>
  </si>
  <si>
    <t>Dirección</t>
  </si>
  <si>
    <t>Diseñadora</t>
  </si>
  <si>
    <t>Creador de contenido</t>
  </si>
  <si>
    <t>BUDGET</t>
  </si>
  <si>
    <t>VARIACION</t>
  </si>
  <si>
    <t>´000 MXP</t>
  </si>
  <si>
    <t>TOTAL 3 AÑOS</t>
  </si>
  <si>
    <t>ROI</t>
  </si>
  <si>
    <t>Pautas MKT</t>
  </si>
  <si>
    <t>CAC:</t>
  </si>
  <si>
    <t>Gastos MKT</t>
  </si>
  <si>
    <t>No. De nuevos ctes adqdos</t>
  </si>
  <si>
    <t>CEDULA RIESGOS Y OPORTUNIDADES</t>
  </si>
  <si>
    <t>RIESGOS</t>
  </si>
  <si>
    <t>OPORTUNIDADES</t>
  </si>
  <si>
    <t>BASE INGRESOS</t>
  </si>
  <si>
    <t>BASE GASTOS</t>
  </si>
  <si>
    <t>Competencia (Pérdida clientes)</t>
  </si>
  <si>
    <t>Tasas Preferencial</t>
  </si>
  <si>
    <t>Tasa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</si>
</sst>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0" fontId="0" fillId="2" borderId="0" xfId="0" applyFill="1"/>
    <xf numFmtId="0" fontId="5" fillId="6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4" fillId="0" borderId="0" xfId="0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0" fillId="0" borderId="0" xfId="3" applyNumberFormat="1" applyFont="1"/>
    <xf numFmtId="164" fontId="0" fillId="3" borderId="0" xfId="3" applyNumberFormat="1" applyFont="1" applyFill="1"/>
    <xf numFmtId="164" fontId="0" fillId="4" borderId="0" xfId="3" applyNumberFormat="1" applyFont="1" applyFill="1"/>
    <xf numFmtId="164" fontId="0" fillId="5" borderId="0" xfId="3" applyNumberFormat="1" applyFont="1" applyFill="1"/>
    <xf numFmtId="164" fontId="5" fillId="6" borderId="2" xfId="3" applyNumberFormat="1" applyFont="1" applyFill="1" applyBorder="1"/>
    <xf numFmtId="0" fontId="0" fillId="0" borderId="0" xfId="3" applyNumberFormat="1" applyFont="1"/>
    <xf numFmtId="0" fontId="0" fillId="0" borderId="1" xfId="0" applyBorder="1"/>
    <xf numFmtId="164" fontId="0" fillId="0" borderId="2" xfId="3" applyNumberFormat="1" applyFont="1" applyBorder="1"/>
    <xf numFmtId="164" fontId="0" fillId="0" borderId="3" xfId="3" applyNumberFormat="1" applyFont="1" applyBorder="1"/>
    <xf numFmtId="0" fontId="1" fillId="0" borderId="0" xfId="4"/>
    <xf numFmtId="43" fontId="0" fillId="0" borderId="0" xfId="5" applyFont="1"/>
    <xf numFmtId="44" fontId="0" fillId="0" borderId="0" xfId="6" applyFont="1"/>
    <xf numFmtId="9" fontId="1" fillId="0" borderId="0" xfId="4" applyNumberFormat="1"/>
    <xf numFmtId="43" fontId="0" fillId="0" borderId="4" xfId="5" applyFont="1" applyBorder="1"/>
    <xf numFmtId="43" fontId="6" fillId="0" borderId="0" xfId="4" applyNumberFormat="1" applyFont="1"/>
  </cellXfs>
  <cellStyles count="7">
    <cellStyle name="Hipervínculo visitado" xfId="1" builtinId="9" hidden="1"/>
    <cellStyle name="Millares" xfId="3" builtinId="3"/>
    <cellStyle name="Millares 2" xfId="5" xr:uid="{3D628D2D-66C5-4CB5-B590-F22A36F4A27F}"/>
    <cellStyle name="Moneda 2" xfId="6" xr:uid="{2EFD1875-6CE4-47D1-B1AC-C8FFEB05192B}"/>
    <cellStyle name="Normal" xfId="0" builtinId="0"/>
    <cellStyle name="Normal 2" xfId="2" xr:uid="{00000000-0005-0000-0000-000003000000}"/>
    <cellStyle name="Normal 3" xfId="4" xr:uid="{B4C85BCE-07B5-4D48-BD2E-7A9D7851FC3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2265-0876-4341-B751-184134CC0FC2}">
  <sheetPr>
    <tabColor theme="8"/>
  </sheetPr>
  <dimension ref="B1:L31"/>
  <sheetViews>
    <sheetView showGridLines="0" workbookViewId="0">
      <selection activeCell="A27" sqref="A27:XFD27"/>
    </sheetView>
  </sheetViews>
  <sheetFormatPr baseColWidth="10" defaultRowHeight="15.75" outlineLevelRow="1" x14ac:dyDescent="0.25"/>
  <cols>
    <col min="2" max="2" width="20.25" customWidth="1"/>
    <col min="3" max="4" width="11.125" style="11" bestFit="1" customWidth="1"/>
    <col min="5" max="6" width="15" style="11" bestFit="1" customWidth="1"/>
    <col min="7" max="7" width="2.75" customWidth="1"/>
    <col min="8" max="11" width="0" hidden="1" customWidth="1"/>
  </cols>
  <sheetData>
    <row r="1" spans="2:12" x14ac:dyDescent="0.25">
      <c r="C1" s="10" t="s">
        <v>25</v>
      </c>
      <c r="D1" s="10"/>
      <c r="E1" s="10"/>
      <c r="F1" s="10"/>
      <c r="H1" s="9"/>
      <c r="I1" s="9"/>
      <c r="J1" s="9"/>
    </row>
    <row r="2" spans="2:12" x14ac:dyDescent="0.25">
      <c r="C2" s="16">
        <v>2026</v>
      </c>
      <c r="D2" s="16">
        <v>2027</v>
      </c>
      <c r="E2" s="16">
        <v>2028</v>
      </c>
      <c r="F2" s="11" t="s">
        <v>26</v>
      </c>
      <c r="H2" t="s">
        <v>23</v>
      </c>
      <c r="I2" t="s">
        <v>0</v>
      </c>
      <c r="J2" t="s">
        <v>24</v>
      </c>
      <c r="L2" t="s">
        <v>27</v>
      </c>
    </row>
    <row r="3" spans="2:12" x14ac:dyDescent="0.25">
      <c r="B3" s="1" t="s">
        <v>1</v>
      </c>
      <c r="C3" s="12">
        <f t="shared" ref="C3:E3" si="0">SUM(C4:C10)</f>
        <v>1749</v>
      </c>
      <c r="D3" s="12">
        <f t="shared" si="0"/>
        <v>1863.44</v>
      </c>
      <c r="E3" s="12">
        <f t="shared" si="0"/>
        <v>1922.8214000000003</v>
      </c>
      <c r="F3" s="12">
        <f>SUM(C3:E3)</f>
        <v>5535.2614000000003</v>
      </c>
      <c r="H3" s="1">
        <f>SUM(H4:H10)</f>
        <v>0</v>
      </c>
      <c r="I3" s="1">
        <f t="shared" ref="I3" si="1">SUM(I4:I10)</f>
        <v>0</v>
      </c>
      <c r="J3" s="1">
        <f>+H3-I3</f>
        <v>0</v>
      </c>
    </row>
    <row r="4" spans="2:12" outlineLevel="1" x14ac:dyDescent="0.25">
      <c r="B4" t="s">
        <v>13</v>
      </c>
      <c r="C4" s="11">
        <f>25*12</f>
        <v>300</v>
      </c>
      <c r="D4" s="11">
        <f>+C4*1.1</f>
        <v>330</v>
      </c>
      <c r="E4" s="11">
        <f>25*12</f>
        <v>300</v>
      </c>
      <c r="F4" s="11">
        <f t="shared" ref="F4:F25" si="2">SUM(C4:E4)</f>
        <v>930</v>
      </c>
      <c r="J4" s="5">
        <f>+H4-I4</f>
        <v>0</v>
      </c>
    </row>
    <row r="5" spans="2:12" outlineLevel="1" x14ac:dyDescent="0.25">
      <c r="B5" t="s">
        <v>14</v>
      </c>
      <c r="C5" s="11">
        <v>250</v>
      </c>
      <c r="D5" s="11">
        <f>+C5*1.05</f>
        <v>262.5</v>
      </c>
      <c r="E5" s="11">
        <f>+D5*1.05</f>
        <v>275.625</v>
      </c>
      <c r="F5" s="11">
        <f t="shared" si="2"/>
        <v>788.125</v>
      </c>
      <c r="J5" s="5">
        <f t="shared" ref="J5:J25" si="3">+H5-I5</f>
        <v>0</v>
      </c>
    </row>
    <row r="6" spans="2:12" outlineLevel="1" x14ac:dyDescent="0.25">
      <c r="B6" t="s">
        <v>15</v>
      </c>
      <c r="C6" s="11">
        <v>320</v>
      </c>
      <c r="D6" s="11">
        <f>+C6*1.06</f>
        <v>339.20000000000005</v>
      </c>
      <c r="E6" s="11">
        <f>+D6*1.06</f>
        <v>359.55200000000008</v>
      </c>
      <c r="F6" s="11">
        <f t="shared" si="2"/>
        <v>1018.7520000000002</v>
      </c>
      <c r="J6" s="5">
        <f t="shared" si="3"/>
        <v>0</v>
      </c>
    </row>
    <row r="7" spans="2:12" outlineLevel="1" collapsed="1" x14ac:dyDescent="0.25">
      <c r="B7" t="s">
        <v>16</v>
      </c>
      <c r="C7" s="11">
        <f>22*12</f>
        <v>264</v>
      </c>
      <c r="D7" s="11">
        <f t="shared" ref="D7:D10" si="4">+C7*1.06</f>
        <v>279.84000000000003</v>
      </c>
      <c r="E7" s="11">
        <f>+D7*1.06</f>
        <v>296.63040000000007</v>
      </c>
      <c r="F7" s="11">
        <f t="shared" si="2"/>
        <v>840.47040000000015</v>
      </c>
      <c r="J7" s="5">
        <f t="shared" si="3"/>
        <v>0</v>
      </c>
    </row>
    <row r="8" spans="2:12" outlineLevel="1" x14ac:dyDescent="0.25">
      <c r="B8" t="s">
        <v>17</v>
      </c>
      <c r="C8" s="11">
        <v>265</v>
      </c>
      <c r="D8" s="11">
        <f t="shared" si="4"/>
        <v>280.90000000000003</v>
      </c>
      <c r="E8" s="11">
        <f>+D8*1.06</f>
        <v>297.75400000000008</v>
      </c>
      <c r="F8" s="11">
        <f t="shared" si="2"/>
        <v>843.65400000000022</v>
      </c>
      <c r="J8" s="5">
        <f t="shared" si="3"/>
        <v>0</v>
      </c>
    </row>
    <row r="9" spans="2:12" outlineLevel="1" x14ac:dyDescent="0.25">
      <c r="B9" t="s">
        <v>18</v>
      </c>
      <c r="C9" s="11">
        <v>200</v>
      </c>
      <c r="D9" s="11">
        <f t="shared" si="4"/>
        <v>212</v>
      </c>
      <c r="E9" s="11">
        <f>+D9*1.06</f>
        <v>224.72</v>
      </c>
      <c r="F9" s="11">
        <f t="shared" si="2"/>
        <v>636.72</v>
      </c>
      <c r="J9" s="5">
        <f t="shared" si="3"/>
        <v>0</v>
      </c>
    </row>
    <row r="10" spans="2:12" outlineLevel="1" x14ac:dyDescent="0.25">
      <c r="B10" t="s">
        <v>19</v>
      </c>
      <c r="C10" s="11">
        <v>150</v>
      </c>
      <c r="D10" s="11">
        <f t="shared" si="4"/>
        <v>159</v>
      </c>
      <c r="E10" s="11">
        <f>+D10*1.06</f>
        <v>168.54000000000002</v>
      </c>
      <c r="F10" s="11">
        <f t="shared" si="2"/>
        <v>477.54</v>
      </c>
      <c r="J10" s="5">
        <f t="shared" si="3"/>
        <v>0</v>
      </c>
    </row>
    <row r="11" spans="2:12" x14ac:dyDescent="0.25">
      <c r="B11" s="2" t="s">
        <v>2</v>
      </c>
      <c r="C11" s="13">
        <f>+C12+C16+C22</f>
        <v>888</v>
      </c>
      <c r="D11" s="13">
        <f t="shared" ref="D11:E11" si="5">+D12+D16+D22</f>
        <v>941.28</v>
      </c>
      <c r="E11" s="13">
        <f t="shared" si="5"/>
        <v>997.75680000000011</v>
      </c>
      <c r="F11" s="13">
        <f t="shared" si="2"/>
        <v>2827.0367999999999</v>
      </c>
      <c r="H11" s="2" t="e">
        <f>+H12+H16+H22+#REF!</f>
        <v>#REF!</v>
      </c>
      <c r="I11" s="2" t="e">
        <f>+I12+I16+I22+#REF!</f>
        <v>#REF!</v>
      </c>
      <c r="J11" s="2" t="e">
        <f t="shared" si="3"/>
        <v>#REF!</v>
      </c>
    </row>
    <row r="12" spans="2:12" outlineLevel="1" x14ac:dyDescent="0.25">
      <c r="B12" s="3" t="s">
        <v>3</v>
      </c>
      <c r="C12" s="14">
        <f>SUM(C13:C15)</f>
        <v>552</v>
      </c>
      <c r="D12" s="14">
        <f t="shared" ref="D12:E12" si="6">SUM(D13:D15)</f>
        <v>585.12</v>
      </c>
      <c r="E12" s="14">
        <f t="shared" si="6"/>
        <v>620.22720000000004</v>
      </c>
      <c r="F12" s="14">
        <f t="shared" si="2"/>
        <v>1757.3471999999999</v>
      </c>
      <c r="H12" s="4">
        <f>SUM(H13:H15)</f>
        <v>0</v>
      </c>
      <c r="I12" s="4">
        <f>SUM(I13:I15)</f>
        <v>0</v>
      </c>
      <c r="J12" s="4">
        <f t="shared" si="3"/>
        <v>0</v>
      </c>
    </row>
    <row r="13" spans="2:12" outlineLevel="1" x14ac:dyDescent="0.25">
      <c r="B13" t="s">
        <v>20</v>
      </c>
      <c r="C13" s="11">
        <f>25*12</f>
        <v>300</v>
      </c>
      <c r="D13" s="11">
        <f t="shared" ref="D13:E15" si="7">+C13*1.06</f>
        <v>318</v>
      </c>
      <c r="E13" s="11">
        <f t="shared" si="7"/>
        <v>337.08000000000004</v>
      </c>
      <c r="F13" s="11">
        <f t="shared" si="2"/>
        <v>955.08</v>
      </c>
      <c r="J13" s="5">
        <f t="shared" si="3"/>
        <v>0</v>
      </c>
    </row>
    <row r="14" spans="2:12" outlineLevel="1" x14ac:dyDescent="0.25">
      <c r="B14" t="s">
        <v>21</v>
      </c>
      <c r="C14" s="11">
        <f>12*12</f>
        <v>144</v>
      </c>
      <c r="D14" s="11">
        <f t="shared" si="7"/>
        <v>152.64000000000001</v>
      </c>
      <c r="E14" s="11">
        <f t="shared" si="7"/>
        <v>161.79840000000002</v>
      </c>
      <c r="F14" s="11">
        <f t="shared" si="2"/>
        <v>458.4384</v>
      </c>
      <c r="J14" s="5">
        <f t="shared" si="3"/>
        <v>0</v>
      </c>
    </row>
    <row r="15" spans="2:12" outlineLevel="1" x14ac:dyDescent="0.25">
      <c r="B15" t="s">
        <v>22</v>
      </c>
      <c r="C15" s="12">
        <f>9*12</f>
        <v>108</v>
      </c>
      <c r="D15" s="12">
        <f t="shared" si="7"/>
        <v>114.48</v>
      </c>
      <c r="E15" s="12">
        <f t="shared" si="7"/>
        <v>121.34880000000001</v>
      </c>
      <c r="F15" s="11">
        <f t="shared" si="2"/>
        <v>343.8288</v>
      </c>
      <c r="J15" s="5">
        <f t="shared" si="3"/>
        <v>0</v>
      </c>
    </row>
    <row r="16" spans="2:12" outlineLevel="1" x14ac:dyDescent="0.25">
      <c r="B16" s="3" t="s">
        <v>4</v>
      </c>
      <c r="C16" s="14">
        <f>SUM(C17:C21)</f>
        <v>336</v>
      </c>
      <c r="D16" s="14">
        <f t="shared" ref="D16:E16" si="8">SUM(D17:D21)</f>
        <v>356.16</v>
      </c>
      <c r="E16" s="14">
        <f t="shared" si="8"/>
        <v>377.52960000000007</v>
      </c>
      <c r="F16" s="14">
        <f t="shared" si="2"/>
        <v>1069.6896000000002</v>
      </c>
      <c r="H16" s="4">
        <f>SUM(H17:H21)</f>
        <v>0</v>
      </c>
      <c r="I16" s="4">
        <f>SUM(I17:I21)</f>
        <v>0</v>
      </c>
      <c r="J16" s="4">
        <f t="shared" si="3"/>
        <v>0</v>
      </c>
    </row>
    <row r="17" spans="2:10" outlineLevel="1" x14ac:dyDescent="0.25">
      <c r="B17" t="s">
        <v>6</v>
      </c>
      <c r="C17" s="11">
        <f>8*12</f>
        <v>96</v>
      </c>
      <c r="D17" s="11">
        <f t="shared" ref="D17:E17" si="9">+C17*1.06</f>
        <v>101.76</v>
      </c>
      <c r="E17" s="11">
        <f t="shared" si="9"/>
        <v>107.86560000000001</v>
      </c>
      <c r="F17" s="11">
        <f t="shared" si="2"/>
        <v>305.62560000000002</v>
      </c>
      <c r="J17" s="5">
        <f t="shared" si="3"/>
        <v>0</v>
      </c>
    </row>
    <row r="18" spans="2:10" outlineLevel="1" x14ac:dyDescent="0.25">
      <c r="B18" t="s">
        <v>7</v>
      </c>
      <c r="C18" s="11">
        <f>5*12</f>
        <v>60</v>
      </c>
      <c r="D18" s="11">
        <f t="shared" ref="D18:E18" si="10">+C18*1.06</f>
        <v>63.6</v>
      </c>
      <c r="E18" s="11">
        <f t="shared" si="10"/>
        <v>67.416000000000011</v>
      </c>
      <c r="F18" s="11">
        <f t="shared" si="2"/>
        <v>191.01600000000002</v>
      </c>
      <c r="J18" s="5">
        <f t="shared" si="3"/>
        <v>0</v>
      </c>
    </row>
    <row r="19" spans="2:10" outlineLevel="1" x14ac:dyDescent="0.25">
      <c r="B19" t="s">
        <v>11</v>
      </c>
      <c r="C19" s="11">
        <f>6*12</f>
        <v>72</v>
      </c>
      <c r="D19" s="11">
        <f>+C19*1.06</f>
        <v>76.320000000000007</v>
      </c>
      <c r="E19" s="11">
        <f t="shared" ref="D19:E19" si="11">+D19*1.06</f>
        <v>80.899200000000008</v>
      </c>
      <c r="F19" s="11">
        <f t="shared" si="2"/>
        <v>229.2192</v>
      </c>
      <c r="J19" s="5">
        <f t="shared" si="3"/>
        <v>0</v>
      </c>
    </row>
    <row r="20" spans="2:10" outlineLevel="1" x14ac:dyDescent="0.25">
      <c r="B20" t="s">
        <v>12</v>
      </c>
      <c r="C20" s="11">
        <f>7*12</f>
        <v>84</v>
      </c>
      <c r="D20" s="11">
        <f t="shared" ref="D20:E20" si="12">+C20*1.06</f>
        <v>89.04</v>
      </c>
      <c r="E20" s="11">
        <f t="shared" si="12"/>
        <v>94.382400000000018</v>
      </c>
      <c r="F20" s="11">
        <f t="shared" si="2"/>
        <v>267.42240000000004</v>
      </c>
      <c r="J20" s="5">
        <f t="shared" si="3"/>
        <v>0</v>
      </c>
    </row>
    <row r="21" spans="2:10" outlineLevel="1" x14ac:dyDescent="0.25">
      <c r="B21" t="s">
        <v>28</v>
      </c>
      <c r="C21" s="12">
        <f>2*12</f>
        <v>24</v>
      </c>
      <c r="D21" s="12">
        <f t="shared" ref="D21:E21" si="13">+C21*1.06</f>
        <v>25.44</v>
      </c>
      <c r="E21" s="12">
        <f t="shared" si="13"/>
        <v>26.966400000000004</v>
      </c>
      <c r="F21" s="11">
        <f t="shared" si="2"/>
        <v>76.406400000000005</v>
      </c>
      <c r="J21" s="5">
        <f t="shared" si="3"/>
        <v>0</v>
      </c>
    </row>
    <row r="22" spans="2:10" outlineLevel="1" x14ac:dyDescent="0.25">
      <c r="B22" s="3" t="s">
        <v>8</v>
      </c>
      <c r="C22" s="14">
        <f>SUM(C23:C24)</f>
        <v>0</v>
      </c>
      <c r="D22" s="14">
        <f t="shared" ref="D22:E22" si="14">SUM(D23:D24)</f>
        <v>0</v>
      </c>
      <c r="E22" s="14">
        <f t="shared" si="14"/>
        <v>0</v>
      </c>
      <c r="F22" s="14">
        <f t="shared" si="2"/>
        <v>0</v>
      </c>
      <c r="H22" s="4">
        <f>SUM(H23:H24)</f>
        <v>0</v>
      </c>
      <c r="I22" s="4">
        <f>SUM(I23:I24)</f>
        <v>0</v>
      </c>
      <c r="J22" s="4">
        <f t="shared" si="3"/>
        <v>0</v>
      </c>
    </row>
    <row r="23" spans="2:10" outlineLevel="1" x14ac:dyDescent="0.25">
      <c r="B23" t="s">
        <v>9</v>
      </c>
      <c r="C23" s="11">
        <v>0</v>
      </c>
      <c r="F23" s="11">
        <f t="shared" si="2"/>
        <v>0</v>
      </c>
      <c r="J23" s="5">
        <f t="shared" si="3"/>
        <v>0</v>
      </c>
    </row>
    <row r="24" spans="2:10" ht="16.5" outlineLevel="1" thickBot="1" x14ac:dyDescent="0.3">
      <c r="B24" t="s">
        <v>10</v>
      </c>
      <c r="C24" s="11">
        <v>0</v>
      </c>
      <c r="F24" s="11">
        <f t="shared" si="2"/>
        <v>0</v>
      </c>
      <c r="J24" s="5">
        <f t="shared" si="3"/>
        <v>0</v>
      </c>
    </row>
    <row r="25" spans="2:10" ht="21.75" thickBot="1" x14ac:dyDescent="0.4">
      <c r="B25" s="6" t="s">
        <v>5</v>
      </c>
      <c r="C25" s="15">
        <f t="shared" ref="C25:D25" si="15">+C3-C11</f>
        <v>861</v>
      </c>
      <c r="D25" s="15">
        <f t="shared" si="15"/>
        <v>922.16000000000008</v>
      </c>
      <c r="E25" s="15">
        <f>+E3-E11</f>
        <v>925.06460000000015</v>
      </c>
      <c r="F25" s="15">
        <f t="shared" si="2"/>
        <v>2708.2246000000005</v>
      </c>
      <c r="H25" s="7" t="e">
        <f>+H3-H11</f>
        <v>#REF!</v>
      </c>
      <c r="I25" s="7" t="e">
        <f>+I3-I11</f>
        <v>#REF!</v>
      </c>
      <c r="J25" s="8" t="e">
        <f t="shared" si="3"/>
        <v>#REF!</v>
      </c>
    </row>
    <row r="26" spans="2:10" x14ac:dyDescent="0.25">
      <c r="J26" s="5"/>
    </row>
    <row r="27" spans="2:10" x14ac:dyDescent="0.25">
      <c r="B27" t="s">
        <v>27</v>
      </c>
      <c r="C27" s="11">
        <f>(+C25/100)*100</f>
        <v>861</v>
      </c>
      <c r="D27" s="11">
        <f t="shared" ref="D27:E27" si="16">(+D25/100)*100</f>
        <v>922.16000000000008</v>
      </c>
      <c r="E27" s="11">
        <f t="shared" si="16"/>
        <v>925.06460000000015</v>
      </c>
    </row>
    <row r="28" spans="2:10" ht="16.5" thickBot="1" x14ac:dyDescent="0.3"/>
    <row r="29" spans="2:10" ht="16.5" thickBot="1" x14ac:dyDescent="0.3">
      <c r="B29" s="17" t="s">
        <v>29</v>
      </c>
      <c r="C29" s="18">
        <f>+C30/C31</f>
        <v>26.4</v>
      </c>
      <c r="D29" s="18">
        <f t="shared" ref="D29:E29" si="17">+D30/D31</f>
        <v>27.984000000000002</v>
      </c>
      <c r="E29" s="18">
        <f t="shared" si="17"/>
        <v>29.663040000000002</v>
      </c>
      <c r="F29" s="19"/>
    </row>
    <row r="30" spans="2:10" x14ac:dyDescent="0.25">
      <c r="B30" t="s">
        <v>30</v>
      </c>
      <c r="C30" s="11">
        <f>+C15+C21</f>
        <v>132</v>
      </c>
      <c r="D30" s="11">
        <f t="shared" ref="D30:E30" si="18">+D15+D21</f>
        <v>139.92000000000002</v>
      </c>
      <c r="E30" s="11">
        <f t="shared" si="18"/>
        <v>148.3152</v>
      </c>
    </row>
    <row r="31" spans="2:10" x14ac:dyDescent="0.25">
      <c r="B31" t="s">
        <v>31</v>
      </c>
      <c r="C31" s="11">
        <v>5</v>
      </c>
      <c r="D31" s="11">
        <v>5</v>
      </c>
      <c r="E31" s="11">
        <v>5</v>
      </c>
    </row>
  </sheetData>
  <dataConsolidate/>
  <mergeCells count="2">
    <mergeCell ref="C1:F1"/>
    <mergeCell ref="H1:J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4F9D-7A82-4C39-962A-771832FEC90F}">
  <sheetPr>
    <tabColor theme="4"/>
  </sheetPr>
  <dimension ref="D3:G14"/>
  <sheetViews>
    <sheetView tabSelected="1" workbookViewId="0">
      <selection activeCell="E12" sqref="E12"/>
    </sheetView>
  </sheetViews>
  <sheetFormatPr baseColWidth="10" defaultRowHeight="15.75" x14ac:dyDescent="0.25"/>
  <cols>
    <col min="1" max="3" width="11" style="20"/>
    <col min="4" max="4" width="29.25" style="20" bestFit="1" customWidth="1"/>
    <col min="5" max="5" width="32.625" style="20" customWidth="1"/>
    <col min="6" max="6" width="11" style="21"/>
    <col min="7" max="7" width="14.375" style="20" bestFit="1" customWidth="1"/>
    <col min="8" max="16384" width="11" style="20"/>
  </cols>
  <sheetData>
    <row r="3" spans="4:7" x14ac:dyDescent="0.25">
      <c r="D3" s="20" t="s">
        <v>32</v>
      </c>
    </row>
    <row r="5" spans="4:7" x14ac:dyDescent="0.25">
      <c r="F5" s="21" t="s">
        <v>33</v>
      </c>
      <c r="G5" s="20" t="s">
        <v>34</v>
      </c>
    </row>
    <row r="6" spans="4:7" x14ac:dyDescent="0.25">
      <c r="D6" s="20" t="s">
        <v>35</v>
      </c>
      <c r="E6" s="22">
        <v>4000000</v>
      </c>
    </row>
    <row r="7" spans="4:7" x14ac:dyDescent="0.25">
      <c r="D7" s="20" t="s">
        <v>36</v>
      </c>
      <c r="E7" s="22">
        <v>3000000</v>
      </c>
    </row>
    <row r="9" spans="4:7" x14ac:dyDescent="0.25">
      <c r="D9" s="20" t="s">
        <v>37</v>
      </c>
      <c r="E9" s="23"/>
      <c r="F9" s="21">
        <f>-Resumen!C3*0.04</f>
        <v>-69.960000000000008</v>
      </c>
    </row>
    <row r="10" spans="4:7" x14ac:dyDescent="0.25">
      <c r="D10" s="20" t="s">
        <v>38</v>
      </c>
      <c r="E10" s="23"/>
      <c r="G10" s="21">
        <f>+Resumen!C3*0.01</f>
        <v>17.490000000000002</v>
      </c>
    </row>
    <row r="11" spans="4:7" x14ac:dyDescent="0.25">
      <c r="D11" s="20" t="s">
        <v>39</v>
      </c>
      <c r="F11" s="24"/>
      <c r="G11" s="24">
        <f>+Resumen!C25*1.1</f>
        <v>947.1</v>
      </c>
    </row>
    <row r="12" spans="4:7" x14ac:dyDescent="0.25">
      <c r="F12" s="21">
        <f>SUM(F9:F11)</f>
        <v>-69.960000000000008</v>
      </c>
      <c r="G12" s="21">
        <f>SUM(G9:G11)</f>
        <v>964.59</v>
      </c>
    </row>
    <row r="14" spans="4:7" x14ac:dyDescent="0.25">
      <c r="G14" s="25">
        <f>+G12+F12</f>
        <v>894.63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cedula R&amp;O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Jackie Thomas</cp:lastModifiedBy>
  <dcterms:created xsi:type="dcterms:W3CDTF">2015-09-24T17:51:54Z</dcterms:created>
  <dcterms:modified xsi:type="dcterms:W3CDTF">2026-02-09T15:13:07Z</dcterms:modified>
</cp:coreProperties>
</file>