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7.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codeName="ThisWorkbook" defaultThemeVersion="124226"/>
  <mc:AlternateContent xmlns:mc="http://schemas.openxmlformats.org/markup-compatibility/2006">
    <mc:Choice Requires="x15">
      <x15ac:absPath xmlns:x15ac="http://schemas.microsoft.com/office/spreadsheetml/2010/11/ac" url="/Users/adrianperez/Desktop/Material Taller Planeación Estratégica/"/>
    </mc:Choice>
  </mc:AlternateContent>
  <xr:revisionPtr revIDLastSave="0" documentId="13_ncr:1_{CBFC3B3B-B4AE-A349-B0A7-9B54863F7D0C}" xr6:coauthVersionLast="47" xr6:coauthVersionMax="47" xr10:uidLastSave="{00000000-0000-0000-0000-000000000000}"/>
  <bookViews>
    <workbookView showSheetTabs="0" xWindow="1180" yWindow="500" windowWidth="25700" windowHeight="15660" tabRatio="0" firstSheet="12" activeTab="26" xr2:uid="{00000000-000D-0000-FFFF-FFFF00000000}"/>
  </bookViews>
  <sheets>
    <sheet name="Lan" sheetId="28" state="hidden" r:id="rId1"/>
    <sheet name="Settings" sheetId="27" r:id="rId2"/>
    <sheet name="SA" sheetId="39" r:id="rId3"/>
    <sheet name="Teams" sheetId="40" r:id="rId4"/>
    <sheet name="Statement" sheetId="11" r:id="rId5"/>
    <sheet name="Goals" sheetId="42" r:id="rId6"/>
    <sheet name="O1" sheetId="43" r:id="rId7"/>
    <sheet name="O2" sheetId="46" r:id="rId8"/>
    <sheet name="O3" sheetId="51" r:id="rId9"/>
    <sheet name="O4" sheetId="52" r:id="rId10"/>
    <sheet name="O5" sheetId="53" r:id="rId11"/>
    <sheet name="O6" sheetId="54" r:id="rId12"/>
    <sheet name="KPI1" sheetId="45" r:id="rId13"/>
    <sheet name="KPI2" sheetId="60" r:id="rId14"/>
    <sheet name="KPI3" sheetId="61" r:id="rId15"/>
    <sheet name="KPI4" sheetId="62" r:id="rId16"/>
    <sheet name="KPI5" sheetId="63" r:id="rId17"/>
    <sheet name="KPI6" sheetId="64" r:id="rId18"/>
    <sheet name="AP1" sheetId="65" r:id="rId19"/>
    <sheet name="AP2" sheetId="71" r:id="rId20"/>
    <sheet name="AP3" sheetId="72" r:id="rId21"/>
    <sheet name="AP4" sheetId="73" r:id="rId22"/>
    <sheet name="AP5" sheetId="74" r:id="rId23"/>
    <sheet name="AP6" sheetId="75" r:id="rId24"/>
    <sheet name="SGoal" sheetId="76" r:id="rId25"/>
    <sheet name="AGoal" sheetId="82" r:id="rId26"/>
    <sheet name="SDashboard" sheetId="77" r:id="rId27"/>
    <sheet name="APDashboard" sheetId="84" r:id="rId28"/>
    <sheet name="SP" sheetId="85" r:id="rId29"/>
    <sheet name="AuxP" sheetId="86" state="hidden" r:id="rId30"/>
    <sheet name="AuxDash" sheetId="83" state="hidden" r:id="rId31"/>
    <sheet name="AuxR" sheetId="78" state="hidden" r:id="rId32"/>
    <sheet name="AuxPlan" sheetId="81" state="hidden" r:id="rId33"/>
    <sheet name="Data" sheetId="26" state="hidden" r:id="rId34"/>
  </sheets>
  <definedNames>
    <definedName name="_xlnm._FilterDatabase" localSheetId="18" hidden="1">'AP1'!$B$11:$L$11</definedName>
    <definedName name="_xlnm._FilterDatabase" localSheetId="19" hidden="1">'AP2'!$B$11:$L$11</definedName>
    <definedName name="_xlnm._FilterDatabase" localSheetId="20" hidden="1">'AP3'!$B$11:$L$11</definedName>
    <definedName name="_xlnm._FilterDatabase" localSheetId="21" hidden="1">'AP4'!$B$11:$L$11</definedName>
    <definedName name="_xlnm._FilterDatabase" localSheetId="22" hidden="1">'AP5'!$B$11:$L$11</definedName>
    <definedName name="_xlnm._FilterDatabase" localSheetId="23" hidden="1">'AP6'!$B$11:$L$11</definedName>
    <definedName name="ActionPlan01">'O1'!$B$12:$B$12:INDEX('O1'!$B$12:$B$22,COUNTIF('O1'!$B$12:$B$22,"?*"))</definedName>
    <definedName name="ActionPlan02">'O2'!$B$12:$B$12:INDEX('O2'!$B$12:$B$22,COUNTIF('O2'!$B$12:$B$22,"?*"))</definedName>
    <definedName name="ActionPlan03">'O3'!$B$12:$B$12:INDEX('O3'!$B$12:$B$21,COUNTIF('O3'!$B$12:$B$21,"?*"))</definedName>
    <definedName name="ActionPlan04">'O4'!$B$12:$B$12:INDEX('O4'!$B$12:$B$22,COUNTIF('O4'!$B$12:$B$22,"?*"))</definedName>
    <definedName name="ActionPlan05">'O5'!$B$12:$B$12:INDEX('O5'!$B$12:$B$22,COUNTIF('O5'!$B$12:$B$22,"?*"))</definedName>
    <definedName name="ActionPlan06">'O6'!$B$12:$B$12:INDEX('O6'!$B$12:$B$22,COUNTIF('O6'!$B$12:$B$22,"?*"))</definedName>
    <definedName name="_xlnm.Print_Area" localSheetId="25">AGoal!$A$6:$W$68</definedName>
    <definedName name="_xlnm.Print_Area" localSheetId="18">'AP1'!$B$6:$L$111</definedName>
    <definedName name="_xlnm.Print_Area" localSheetId="19">'AP2'!$A$6:$L$111</definedName>
    <definedName name="_xlnm.Print_Area" localSheetId="20">'AP3'!$A$6:$L$111</definedName>
    <definedName name="_xlnm.Print_Area" localSheetId="21">'AP4'!$A$6:$L$111</definedName>
    <definedName name="_xlnm.Print_Area" localSheetId="22">'AP5'!$A$6:$L$111</definedName>
    <definedName name="_xlnm.Print_Area" localSheetId="23">'AP6'!$A$6:$L$111</definedName>
    <definedName name="_xlnm.Print_Area" localSheetId="27">APDashboard!$A$6:$M$36</definedName>
    <definedName name="_xlnm.Print_Area" localSheetId="5">Goals!$A$6:$H$30</definedName>
    <definedName name="_xlnm.Print_Area" localSheetId="12">'KPI1'!$A$6:$S$42</definedName>
    <definedName name="_xlnm.Print_Area" localSheetId="13">'KPI2'!$A$6:$S$42</definedName>
    <definedName name="_xlnm.Print_Area" localSheetId="14">'KPI3'!$A$6:$S$42</definedName>
    <definedName name="_xlnm.Print_Area" localSheetId="15">'KPI4'!$A$6:$S$42</definedName>
    <definedName name="_xlnm.Print_Area" localSheetId="16">'KPI5'!$A$6:$S$42</definedName>
    <definedName name="_xlnm.Print_Area" localSheetId="17">'KPI6'!$A$6:$S$42</definedName>
    <definedName name="_xlnm.Print_Area" localSheetId="0">Lan!$A$6:$F$145</definedName>
    <definedName name="_xlnm.Print_Area" localSheetId="6">'O1'!$A$6:$H$30</definedName>
    <definedName name="_xlnm.Print_Area" localSheetId="7">'O2'!$A$6:$H$30</definedName>
    <definedName name="_xlnm.Print_Area" localSheetId="8">'O3'!$A$6:$H$30</definedName>
    <definedName name="_xlnm.Print_Area" localSheetId="9">'O4'!$A$6:$H$30</definedName>
    <definedName name="_xlnm.Print_Area" localSheetId="10">'O5'!$A$6:$H$30</definedName>
    <definedName name="_xlnm.Print_Area" localSheetId="11">'O6'!$A$6:$H$30</definedName>
    <definedName name="_xlnm.Print_Area" localSheetId="2">SA!$A$6:$H$30</definedName>
    <definedName name="_xlnm.Print_Area" localSheetId="26">SDashboard!$A$6:$O$32</definedName>
    <definedName name="_xlnm.Print_Area" localSheetId="1">Settings!$A$6:$N$37</definedName>
    <definedName name="_xlnm.Print_Area" localSheetId="24">SGoal!$A$6:$Q$67</definedName>
    <definedName name="_xlnm.Print_Area" localSheetId="28">SP!$B$7:$W$118</definedName>
    <definedName name="_xlnm.Print_Area" localSheetId="4">Statement!$A$6:$I$33</definedName>
    <definedName name="_xlnm.Print_Area" localSheetId="3">Teams!$A$6:$G$31</definedName>
    <definedName name="Direction">Data!$I$2:$I$3</definedName>
    <definedName name="DRangeAreas">SA!$C$11:$C$11:INDEX(SA!$C$11:$C$18,COUNTIF(SA!$C$11:$C$18,"?*"))</definedName>
    <definedName name="DRangeEmployee">Teams!$C$11:$C$11:INDEX(Teams!$C$11:$C$30,COUNTIF(Teams!$C$11:$C$30,"?*"))</definedName>
    <definedName name="DRangeGoals01">Goals!$C$12:$C$12:INDEX(Goals!$B$12:$B$20,COUNTIF(Goals!$B$12:$B$22,"?*"))</definedName>
    <definedName name="expression">Data!$J$2:$J$4</definedName>
    <definedName name="Format">Data!$H$2:$H$11</definedName>
    <definedName name="language">Data!$G$2:$G$5</definedName>
    <definedName name="month">Data!$A$2:$A$15</definedName>
    <definedName name="month2">Data!$D$2:$D$13</definedName>
    <definedName name="selected">Data!$L$2:$L$3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27" l="1"/>
  <c r="K13" i="65"/>
  <c r="D10" i="52"/>
  <c r="C43" i="85"/>
  <c r="C46" i="85"/>
  <c r="T8" i="61"/>
  <c r="B12" i="61"/>
  <c r="D14" i="61" s="1"/>
  <c r="T12" i="61"/>
  <c r="T13" i="61"/>
  <c r="B15" i="61"/>
  <c r="D17" i="61" s="1"/>
  <c r="T15" i="61"/>
  <c r="T16" i="61"/>
  <c r="B18" i="61"/>
  <c r="D20" i="61" s="1"/>
  <c r="T18" i="61"/>
  <c r="T19" i="61"/>
  <c r="B21" i="61"/>
  <c r="D23" i="61" s="1"/>
  <c r="T21" i="61"/>
  <c r="T22" i="61"/>
  <c r="B24" i="61"/>
  <c r="D26" i="61" s="1"/>
  <c r="T24" i="61"/>
  <c r="T25" i="61"/>
  <c r="B27" i="61"/>
  <c r="D29" i="61" s="1"/>
  <c r="T27" i="61"/>
  <c r="T28" i="61"/>
  <c r="B30" i="61"/>
  <c r="D32" i="61" s="1"/>
  <c r="T30" i="61"/>
  <c r="T31" i="61"/>
  <c r="B33" i="61"/>
  <c r="D35" i="61" s="1"/>
  <c r="T33" i="61"/>
  <c r="T34" i="61"/>
  <c r="B36" i="61"/>
  <c r="D38" i="61" s="1"/>
  <c r="T36" i="61"/>
  <c r="T37" i="61"/>
  <c r="F38" i="61"/>
  <c r="J38" i="61"/>
  <c r="N38" i="61"/>
  <c r="B39" i="61"/>
  <c r="D41" i="61" s="1"/>
  <c r="T39" i="61"/>
  <c r="T40" i="61"/>
  <c r="G41" i="61"/>
  <c r="O41" i="61"/>
  <c r="K8" i="75"/>
  <c r="I13" i="75"/>
  <c r="I12" i="75"/>
  <c r="I14" i="75"/>
  <c r="I15" i="75"/>
  <c r="I16" i="75"/>
  <c r="I17" i="75"/>
  <c r="I18" i="75"/>
  <c r="I15" i="74"/>
  <c r="I12" i="74"/>
  <c r="I13" i="74"/>
  <c r="I14" i="74"/>
  <c r="I16" i="74"/>
  <c r="I17" i="74"/>
  <c r="I18" i="74"/>
  <c r="I19" i="73"/>
  <c r="I15" i="73"/>
  <c r="I12" i="73"/>
  <c r="I13" i="73"/>
  <c r="I14" i="73"/>
  <c r="I16" i="73"/>
  <c r="I17" i="73"/>
  <c r="I18" i="73"/>
  <c r="I12" i="72"/>
  <c r="I13" i="72"/>
  <c r="I14" i="72"/>
  <c r="I15" i="72"/>
  <c r="I16" i="72"/>
  <c r="I17" i="72"/>
  <c r="I18" i="72"/>
  <c r="I20" i="71"/>
  <c r="I19" i="71"/>
  <c r="I12" i="71"/>
  <c r="I14" i="71"/>
  <c r="I15" i="71"/>
  <c r="I16" i="71"/>
  <c r="I17" i="71"/>
  <c r="I18" i="71"/>
  <c r="K8" i="65"/>
  <c r="I19" i="65"/>
  <c r="I18" i="65"/>
  <c r="I12" i="65"/>
  <c r="I14" i="65"/>
  <c r="I15" i="65"/>
  <c r="I16" i="65"/>
  <c r="I17" i="65"/>
  <c r="O23" i="61" l="1"/>
  <c r="J20" i="61"/>
  <c r="N20" i="61"/>
  <c r="G23" i="61"/>
  <c r="F20" i="61"/>
  <c r="I41" i="61"/>
  <c r="I23" i="61"/>
  <c r="O17" i="61"/>
  <c r="K17" i="61"/>
  <c r="M41" i="61"/>
  <c r="E41" i="61"/>
  <c r="K29" i="61"/>
  <c r="M23" i="61"/>
  <c r="E23" i="61"/>
  <c r="G17" i="61"/>
  <c r="K41" i="61"/>
  <c r="K23" i="61"/>
  <c r="J32" i="61"/>
  <c r="O29" i="61"/>
  <c r="G29" i="61"/>
  <c r="J26" i="61"/>
  <c r="O35" i="61"/>
  <c r="K35" i="61"/>
  <c r="G35" i="61"/>
  <c r="M35" i="61"/>
  <c r="I35" i="61"/>
  <c r="E35" i="61"/>
  <c r="N32" i="61"/>
  <c r="F32" i="61"/>
  <c r="M29" i="61"/>
  <c r="I29" i="61"/>
  <c r="E29" i="61"/>
  <c r="N26" i="61"/>
  <c r="F26" i="61"/>
  <c r="J14" i="61"/>
  <c r="P41" i="61"/>
  <c r="N41" i="61"/>
  <c r="L41" i="61"/>
  <c r="J41" i="61"/>
  <c r="H41" i="61"/>
  <c r="F41" i="61"/>
  <c r="P38" i="61"/>
  <c r="L38" i="61"/>
  <c r="H38" i="61"/>
  <c r="P35" i="61"/>
  <c r="N35" i="61"/>
  <c r="L35" i="61"/>
  <c r="J35" i="61"/>
  <c r="H35" i="61"/>
  <c r="F35" i="61"/>
  <c r="P32" i="61"/>
  <c r="L32" i="61"/>
  <c r="H32" i="61"/>
  <c r="P29" i="61"/>
  <c r="N29" i="61"/>
  <c r="L29" i="61"/>
  <c r="J29" i="61"/>
  <c r="H29" i="61"/>
  <c r="F29" i="61"/>
  <c r="P26" i="61"/>
  <c r="L26" i="61"/>
  <c r="H26" i="61"/>
  <c r="P23" i="61"/>
  <c r="N23" i="61"/>
  <c r="L23" i="61"/>
  <c r="J23" i="61"/>
  <c r="H23" i="61"/>
  <c r="F23" i="61"/>
  <c r="P20" i="61"/>
  <c r="L20" i="61"/>
  <c r="H20" i="61"/>
  <c r="M17" i="61"/>
  <c r="I17" i="61"/>
  <c r="E17" i="61"/>
  <c r="N14" i="61"/>
  <c r="F14" i="61"/>
  <c r="P17" i="61"/>
  <c r="N17" i="61"/>
  <c r="L17" i="61"/>
  <c r="J17" i="61"/>
  <c r="H17" i="61"/>
  <c r="F17" i="61"/>
  <c r="P14" i="61"/>
  <c r="L14" i="61"/>
  <c r="H14" i="61"/>
  <c r="O38" i="61"/>
  <c r="M38" i="61"/>
  <c r="K38" i="61"/>
  <c r="I38" i="61"/>
  <c r="G38" i="61"/>
  <c r="E38" i="61"/>
  <c r="O32" i="61"/>
  <c r="M32" i="61"/>
  <c r="K32" i="61"/>
  <c r="I32" i="61"/>
  <c r="G32" i="61"/>
  <c r="E32" i="61"/>
  <c r="O26" i="61"/>
  <c r="M26" i="61"/>
  <c r="K26" i="61"/>
  <c r="I26" i="61"/>
  <c r="G26" i="61"/>
  <c r="E26" i="61"/>
  <c r="O20" i="61"/>
  <c r="M20" i="61"/>
  <c r="K20" i="61"/>
  <c r="I20" i="61"/>
  <c r="G20" i="61"/>
  <c r="E20" i="61"/>
  <c r="O14" i="61"/>
  <c r="M14" i="61"/>
  <c r="K14" i="61"/>
  <c r="I14" i="61"/>
  <c r="G14" i="61"/>
  <c r="E14" i="61"/>
  <c r="F10" i="28"/>
  <c r="B2" i="78"/>
  <c r="G5" i="26"/>
  <c r="G4" i="26"/>
  <c r="G3" i="26"/>
  <c r="G2" i="26"/>
  <c r="F13" i="28" l="1"/>
  <c r="F152" i="28"/>
  <c r="B8" i="39" s="1"/>
  <c r="F11" i="28"/>
  <c r="B7" i="27" s="1"/>
  <c r="F14" i="28"/>
  <c r="S104" i="85"/>
  <c r="R104" i="85"/>
  <c r="P104" i="85"/>
  <c r="O104" i="85"/>
  <c r="D2" i="86" l="1"/>
  <c r="K8" i="74" l="1"/>
  <c r="K8" i="73"/>
  <c r="K8" i="72"/>
  <c r="K8" i="71"/>
  <c r="I19" i="75"/>
  <c r="I19" i="74"/>
  <c r="I19" i="72"/>
  <c r="L111" i="75"/>
  <c r="L110" i="75"/>
  <c r="L109" i="75"/>
  <c r="L108" i="75"/>
  <c r="L107" i="75"/>
  <c r="L106" i="75"/>
  <c r="L105" i="75"/>
  <c r="L104" i="75"/>
  <c r="L103" i="75"/>
  <c r="L102" i="75"/>
  <c r="L101" i="75"/>
  <c r="L100" i="75"/>
  <c r="L99" i="75"/>
  <c r="L98" i="75"/>
  <c r="L97" i="75"/>
  <c r="L96" i="75"/>
  <c r="L95" i="75"/>
  <c r="L94" i="75"/>
  <c r="L93" i="75"/>
  <c r="L92" i="75"/>
  <c r="L91" i="75"/>
  <c r="L90" i="75"/>
  <c r="L89" i="75"/>
  <c r="L88" i="75"/>
  <c r="L87" i="75"/>
  <c r="L86" i="75"/>
  <c r="L85" i="75"/>
  <c r="L84" i="75"/>
  <c r="L83" i="75"/>
  <c r="L82" i="75"/>
  <c r="L81" i="75"/>
  <c r="L80" i="75"/>
  <c r="L79" i="75"/>
  <c r="L78" i="75"/>
  <c r="L77" i="75"/>
  <c r="L76" i="75"/>
  <c r="L75" i="75"/>
  <c r="L74" i="75"/>
  <c r="L73" i="75"/>
  <c r="L72" i="75"/>
  <c r="L71" i="75"/>
  <c r="L70" i="75"/>
  <c r="L69" i="75"/>
  <c r="L68" i="75"/>
  <c r="L67" i="75"/>
  <c r="L66" i="75"/>
  <c r="L65" i="75"/>
  <c r="L64" i="75"/>
  <c r="L63" i="75"/>
  <c r="L62" i="75"/>
  <c r="L61" i="75"/>
  <c r="L60" i="75"/>
  <c r="L59" i="75"/>
  <c r="L58" i="75"/>
  <c r="L57" i="75"/>
  <c r="L56" i="75"/>
  <c r="L55" i="75"/>
  <c r="L54" i="75"/>
  <c r="L53" i="75"/>
  <c r="L52" i="75"/>
  <c r="L51" i="75"/>
  <c r="L50" i="75"/>
  <c r="L49" i="75"/>
  <c r="L48" i="75"/>
  <c r="L47" i="75"/>
  <c r="L46" i="75"/>
  <c r="L45" i="75"/>
  <c r="L44" i="75"/>
  <c r="L43" i="75"/>
  <c r="L42" i="75"/>
  <c r="L41" i="75"/>
  <c r="L40" i="75"/>
  <c r="L39" i="75"/>
  <c r="L38" i="75"/>
  <c r="L37" i="75"/>
  <c r="L36" i="75"/>
  <c r="L35" i="75"/>
  <c r="L34" i="75"/>
  <c r="L33" i="75"/>
  <c r="L32" i="75"/>
  <c r="L31" i="75"/>
  <c r="L30" i="75"/>
  <c r="L29" i="75"/>
  <c r="L28" i="75"/>
  <c r="L27" i="75"/>
  <c r="L26" i="75"/>
  <c r="L25" i="75"/>
  <c r="L24" i="75"/>
  <c r="L23" i="75"/>
  <c r="L22" i="75"/>
  <c r="L21" i="75"/>
  <c r="L20" i="75"/>
  <c r="L111" i="74"/>
  <c r="L110" i="74"/>
  <c r="L109" i="74"/>
  <c r="L108" i="74"/>
  <c r="L107" i="74"/>
  <c r="L106" i="74"/>
  <c r="L105" i="74"/>
  <c r="L104" i="74"/>
  <c r="L103" i="74"/>
  <c r="L102" i="74"/>
  <c r="L101" i="74"/>
  <c r="L100" i="74"/>
  <c r="L99" i="74"/>
  <c r="L98" i="74"/>
  <c r="L97" i="74"/>
  <c r="L96" i="74"/>
  <c r="L95" i="74"/>
  <c r="L94" i="74"/>
  <c r="L93" i="74"/>
  <c r="L92" i="74"/>
  <c r="L91" i="74"/>
  <c r="L90" i="74"/>
  <c r="L89" i="74"/>
  <c r="L88" i="74"/>
  <c r="L87" i="74"/>
  <c r="L86" i="74"/>
  <c r="L85" i="74"/>
  <c r="L84" i="74"/>
  <c r="L83" i="74"/>
  <c r="L82" i="74"/>
  <c r="L81" i="74"/>
  <c r="L80" i="74"/>
  <c r="L79" i="74"/>
  <c r="L78" i="74"/>
  <c r="L77" i="74"/>
  <c r="L76" i="74"/>
  <c r="L75" i="74"/>
  <c r="L74" i="74"/>
  <c r="L73" i="74"/>
  <c r="L72" i="74"/>
  <c r="L71" i="74"/>
  <c r="L70" i="74"/>
  <c r="L69" i="74"/>
  <c r="L68" i="74"/>
  <c r="L67" i="74"/>
  <c r="L66" i="74"/>
  <c r="L65" i="74"/>
  <c r="L64" i="74"/>
  <c r="L63" i="74"/>
  <c r="L62" i="74"/>
  <c r="L61" i="74"/>
  <c r="L60" i="74"/>
  <c r="L59" i="74"/>
  <c r="L58" i="74"/>
  <c r="L57" i="74"/>
  <c r="L56" i="74"/>
  <c r="L55" i="74"/>
  <c r="L54" i="74"/>
  <c r="L53" i="74"/>
  <c r="L52" i="74"/>
  <c r="L51" i="74"/>
  <c r="L50" i="74"/>
  <c r="L49" i="74"/>
  <c r="L48" i="74"/>
  <c r="L47" i="74"/>
  <c r="L46" i="74"/>
  <c r="L45" i="74"/>
  <c r="L44" i="74"/>
  <c r="L43" i="74"/>
  <c r="L42" i="74"/>
  <c r="L41" i="74"/>
  <c r="L40" i="74"/>
  <c r="L39" i="74"/>
  <c r="L38" i="74"/>
  <c r="L37" i="74"/>
  <c r="L36" i="74"/>
  <c r="L35" i="74"/>
  <c r="L34" i="74"/>
  <c r="L33" i="74"/>
  <c r="L32" i="74"/>
  <c r="L31" i="74"/>
  <c r="L30" i="74"/>
  <c r="L29" i="74"/>
  <c r="L28" i="74"/>
  <c r="L27" i="74"/>
  <c r="L26" i="74"/>
  <c r="L25" i="74"/>
  <c r="L24" i="74"/>
  <c r="L23" i="74"/>
  <c r="L22" i="74"/>
  <c r="L21" i="74"/>
  <c r="L20" i="74"/>
  <c r="L111" i="73"/>
  <c r="L110" i="73"/>
  <c r="L109" i="73"/>
  <c r="L108" i="73"/>
  <c r="L107" i="73"/>
  <c r="L106" i="73"/>
  <c r="L105" i="73"/>
  <c r="L104" i="73"/>
  <c r="L103" i="73"/>
  <c r="L102" i="73"/>
  <c r="L101" i="73"/>
  <c r="L100" i="73"/>
  <c r="L99" i="73"/>
  <c r="L98" i="73"/>
  <c r="L97" i="73"/>
  <c r="L96" i="73"/>
  <c r="L95" i="73"/>
  <c r="L94" i="73"/>
  <c r="L93" i="73"/>
  <c r="L92" i="73"/>
  <c r="L91" i="73"/>
  <c r="L90" i="73"/>
  <c r="L89" i="73"/>
  <c r="L88" i="73"/>
  <c r="L87" i="73"/>
  <c r="L86" i="73"/>
  <c r="L85" i="73"/>
  <c r="L84" i="73"/>
  <c r="L83" i="73"/>
  <c r="L82" i="73"/>
  <c r="L81" i="73"/>
  <c r="L80" i="73"/>
  <c r="L79" i="73"/>
  <c r="L78" i="73"/>
  <c r="L77" i="73"/>
  <c r="L76" i="73"/>
  <c r="L75" i="73"/>
  <c r="L74" i="73"/>
  <c r="L73" i="73"/>
  <c r="L72" i="73"/>
  <c r="L71" i="73"/>
  <c r="L70" i="73"/>
  <c r="L69" i="73"/>
  <c r="L68" i="73"/>
  <c r="L67" i="73"/>
  <c r="L66" i="73"/>
  <c r="L65" i="73"/>
  <c r="L64" i="73"/>
  <c r="L63" i="73"/>
  <c r="L62" i="73"/>
  <c r="L61" i="73"/>
  <c r="L60" i="73"/>
  <c r="L59" i="73"/>
  <c r="L58" i="73"/>
  <c r="L57" i="73"/>
  <c r="L56" i="73"/>
  <c r="L55" i="73"/>
  <c r="L54" i="73"/>
  <c r="L53" i="73"/>
  <c r="L52" i="73"/>
  <c r="L51" i="73"/>
  <c r="L50" i="73"/>
  <c r="L49" i="73"/>
  <c r="L48" i="73"/>
  <c r="L47" i="73"/>
  <c r="L46" i="73"/>
  <c r="L45" i="73"/>
  <c r="L44" i="73"/>
  <c r="L43" i="73"/>
  <c r="L42" i="73"/>
  <c r="L41" i="73"/>
  <c r="L40" i="73"/>
  <c r="L39" i="73"/>
  <c r="L38" i="73"/>
  <c r="L37" i="73"/>
  <c r="L36" i="73"/>
  <c r="L35" i="73"/>
  <c r="L34" i="73"/>
  <c r="L33" i="73"/>
  <c r="L32" i="73"/>
  <c r="L31" i="73"/>
  <c r="L30" i="73"/>
  <c r="L29" i="73"/>
  <c r="L28" i="73"/>
  <c r="L27" i="73"/>
  <c r="L26" i="73"/>
  <c r="L25" i="73"/>
  <c r="L24" i="73"/>
  <c r="L23" i="73"/>
  <c r="L22" i="73"/>
  <c r="L21" i="73"/>
  <c r="L20" i="73"/>
  <c r="L111" i="72"/>
  <c r="L110" i="72"/>
  <c r="L109" i="72"/>
  <c r="L108" i="72"/>
  <c r="L107" i="72"/>
  <c r="L106" i="72"/>
  <c r="L105" i="72"/>
  <c r="L104" i="72"/>
  <c r="L103" i="72"/>
  <c r="L102" i="72"/>
  <c r="L101" i="72"/>
  <c r="L100" i="72"/>
  <c r="L99" i="72"/>
  <c r="L98" i="72"/>
  <c r="L97" i="72"/>
  <c r="L96" i="72"/>
  <c r="L95" i="72"/>
  <c r="L94" i="72"/>
  <c r="L93" i="72"/>
  <c r="L92" i="72"/>
  <c r="L91" i="72"/>
  <c r="L90" i="72"/>
  <c r="L89" i="72"/>
  <c r="L88" i="72"/>
  <c r="L87" i="72"/>
  <c r="L86" i="72"/>
  <c r="L85" i="72"/>
  <c r="L84" i="72"/>
  <c r="L83" i="72"/>
  <c r="L82" i="72"/>
  <c r="L81" i="72"/>
  <c r="L80" i="72"/>
  <c r="L79" i="72"/>
  <c r="L78" i="72"/>
  <c r="L77" i="72"/>
  <c r="L76" i="72"/>
  <c r="L75" i="72"/>
  <c r="L74" i="72"/>
  <c r="L73" i="72"/>
  <c r="L72" i="72"/>
  <c r="L71" i="72"/>
  <c r="L70" i="72"/>
  <c r="L69" i="72"/>
  <c r="L68" i="72"/>
  <c r="L67" i="72"/>
  <c r="L66" i="72"/>
  <c r="L65" i="72"/>
  <c r="L64" i="72"/>
  <c r="L63" i="72"/>
  <c r="L62" i="72"/>
  <c r="L61" i="72"/>
  <c r="L60" i="72"/>
  <c r="L59" i="72"/>
  <c r="L58" i="72"/>
  <c r="L57" i="72"/>
  <c r="L56" i="72"/>
  <c r="L55" i="72"/>
  <c r="L54" i="72"/>
  <c r="L53" i="72"/>
  <c r="L52" i="72"/>
  <c r="L51" i="72"/>
  <c r="L50" i="72"/>
  <c r="L49" i="72"/>
  <c r="L48" i="72"/>
  <c r="L47" i="72"/>
  <c r="L46" i="72"/>
  <c r="L45" i="72"/>
  <c r="L44" i="72"/>
  <c r="L43" i="72"/>
  <c r="L42" i="72"/>
  <c r="L41" i="72"/>
  <c r="L40" i="72"/>
  <c r="L39" i="72"/>
  <c r="L38" i="72"/>
  <c r="L37" i="72"/>
  <c r="L36" i="72"/>
  <c r="L35" i="72"/>
  <c r="L34" i="72"/>
  <c r="L33" i="72"/>
  <c r="L32" i="72"/>
  <c r="L31" i="72"/>
  <c r="L30" i="72"/>
  <c r="L29" i="72"/>
  <c r="L28" i="72"/>
  <c r="L27" i="72"/>
  <c r="L26" i="72"/>
  <c r="L25" i="72"/>
  <c r="L24" i="72"/>
  <c r="L23" i="72"/>
  <c r="L22" i="72"/>
  <c r="L21" i="72"/>
  <c r="L20" i="72"/>
  <c r="L111" i="71"/>
  <c r="L110" i="71"/>
  <c r="L109" i="71"/>
  <c r="L108" i="71"/>
  <c r="L107" i="71"/>
  <c r="L106" i="71"/>
  <c r="L105" i="71"/>
  <c r="L104" i="71"/>
  <c r="L103" i="71"/>
  <c r="L102" i="71"/>
  <c r="L101" i="71"/>
  <c r="L100" i="71"/>
  <c r="L99" i="71"/>
  <c r="L98" i="71"/>
  <c r="L97" i="71"/>
  <c r="L96" i="71"/>
  <c r="L95" i="71"/>
  <c r="L94" i="71"/>
  <c r="L93" i="71"/>
  <c r="L92" i="71"/>
  <c r="L91" i="71"/>
  <c r="L90" i="71"/>
  <c r="L89" i="71"/>
  <c r="L88" i="71"/>
  <c r="L87" i="71"/>
  <c r="L86" i="71"/>
  <c r="L85" i="71"/>
  <c r="L84" i="71"/>
  <c r="L83" i="71"/>
  <c r="L82" i="71"/>
  <c r="L81" i="71"/>
  <c r="L80" i="71"/>
  <c r="L79" i="71"/>
  <c r="L78" i="71"/>
  <c r="L77" i="71"/>
  <c r="L76" i="71"/>
  <c r="L75" i="71"/>
  <c r="L74" i="71"/>
  <c r="L73" i="71"/>
  <c r="L72" i="71"/>
  <c r="L71" i="71"/>
  <c r="L70" i="71"/>
  <c r="L69" i="71"/>
  <c r="L68" i="71"/>
  <c r="L67" i="71"/>
  <c r="L66" i="71"/>
  <c r="L65" i="71"/>
  <c r="L64" i="71"/>
  <c r="L63" i="71"/>
  <c r="L62" i="71"/>
  <c r="L61" i="71"/>
  <c r="L60" i="71"/>
  <c r="L59" i="71"/>
  <c r="L58" i="71"/>
  <c r="L57" i="71"/>
  <c r="L56" i="71"/>
  <c r="L55" i="71"/>
  <c r="L54" i="71"/>
  <c r="L53" i="71"/>
  <c r="L52" i="71"/>
  <c r="L51" i="71"/>
  <c r="L50" i="71"/>
  <c r="L49" i="71"/>
  <c r="L48" i="71"/>
  <c r="L47" i="71"/>
  <c r="L46" i="71"/>
  <c r="L45" i="71"/>
  <c r="L44" i="71"/>
  <c r="L43" i="71"/>
  <c r="L42" i="71"/>
  <c r="L41" i="71"/>
  <c r="L40" i="71"/>
  <c r="L39" i="71"/>
  <c r="L38" i="71"/>
  <c r="L37" i="71"/>
  <c r="L36" i="71"/>
  <c r="L35" i="71"/>
  <c r="L34" i="71"/>
  <c r="L33" i="71"/>
  <c r="L32" i="71"/>
  <c r="L31" i="71"/>
  <c r="L30" i="71"/>
  <c r="L29" i="71"/>
  <c r="L28" i="71"/>
  <c r="L27" i="71"/>
  <c r="L26" i="71"/>
  <c r="L25" i="71"/>
  <c r="L24" i="71"/>
  <c r="L23" i="71"/>
  <c r="L22" i="71"/>
  <c r="L21" i="71"/>
  <c r="L20" i="71"/>
  <c r="L111" i="65"/>
  <c r="L110" i="65"/>
  <c r="L109" i="65"/>
  <c r="L108" i="65"/>
  <c r="L107" i="65"/>
  <c r="L106" i="65"/>
  <c r="L105" i="65"/>
  <c r="L104" i="65"/>
  <c r="L103" i="65"/>
  <c r="L102" i="65"/>
  <c r="L101" i="65"/>
  <c r="L100" i="65"/>
  <c r="L99" i="65"/>
  <c r="L98" i="65"/>
  <c r="L97" i="65"/>
  <c r="L96" i="65"/>
  <c r="L95" i="65"/>
  <c r="L94" i="65"/>
  <c r="L93" i="65"/>
  <c r="L92" i="65"/>
  <c r="L91" i="65"/>
  <c r="L90" i="65"/>
  <c r="L89" i="65"/>
  <c r="L88" i="65"/>
  <c r="L87" i="65"/>
  <c r="L86" i="65"/>
  <c r="L85" i="65"/>
  <c r="L84" i="65"/>
  <c r="L83" i="65"/>
  <c r="L82" i="65"/>
  <c r="L81" i="65"/>
  <c r="L80" i="65"/>
  <c r="L79" i="65"/>
  <c r="L78" i="65"/>
  <c r="L77" i="65"/>
  <c r="L76" i="65"/>
  <c r="L75" i="65"/>
  <c r="L74" i="65"/>
  <c r="L73" i="65"/>
  <c r="L72" i="65"/>
  <c r="L71" i="65"/>
  <c r="L70" i="65"/>
  <c r="L69" i="65"/>
  <c r="L68" i="65"/>
  <c r="L67" i="65"/>
  <c r="L66" i="65"/>
  <c r="L65" i="65"/>
  <c r="L64" i="65"/>
  <c r="L63" i="65"/>
  <c r="L62" i="65"/>
  <c r="L61" i="65"/>
  <c r="L60" i="65"/>
  <c r="L59" i="65"/>
  <c r="L58" i="65"/>
  <c r="L57" i="65"/>
  <c r="L56" i="65"/>
  <c r="L55" i="65"/>
  <c r="L54" i="65"/>
  <c r="L53" i="65"/>
  <c r="L52" i="65"/>
  <c r="L51" i="65"/>
  <c r="L50" i="65"/>
  <c r="L49" i="65"/>
  <c r="L48" i="65"/>
  <c r="L47" i="65"/>
  <c r="L46" i="65"/>
  <c r="L45" i="65"/>
  <c r="L44" i="65"/>
  <c r="L43" i="65"/>
  <c r="L42" i="65"/>
  <c r="L41" i="65"/>
  <c r="L40" i="65"/>
  <c r="L39" i="65"/>
  <c r="L38" i="65"/>
  <c r="L37" i="65"/>
  <c r="L36" i="65"/>
  <c r="L35" i="65"/>
  <c r="L34" i="65"/>
  <c r="L33" i="65"/>
  <c r="L32" i="65"/>
  <c r="L31" i="65"/>
  <c r="L30" i="65"/>
  <c r="L29" i="65"/>
  <c r="L28" i="65"/>
  <c r="L27" i="65"/>
  <c r="L26" i="65"/>
  <c r="L25" i="65"/>
  <c r="L24" i="65"/>
  <c r="L23" i="65"/>
  <c r="L22" i="65"/>
  <c r="L21" i="65"/>
  <c r="L20" i="65"/>
  <c r="C4" i="81" l="1"/>
  <c r="E4" i="81" l="1"/>
  <c r="B13" i="82"/>
  <c r="C50" i="85"/>
  <c r="J40" i="76"/>
  <c r="B40" i="76"/>
  <c r="J24" i="76"/>
  <c r="B24" i="76"/>
  <c r="J9" i="76"/>
  <c r="B9" i="76"/>
  <c r="M41" i="82"/>
  <c r="B41" i="82"/>
  <c r="M25" i="82"/>
  <c r="B25" i="82"/>
  <c r="M9" i="82"/>
  <c r="B9" i="82"/>
  <c r="B15" i="64"/>
  <c r="B12" i="63" l="1"/>
  <c r="B33" i="60"/>
  <c r="B36" i="60"/>
  <c r="B39" i="60"/>
  <c r="B12" i="60"/>
  <c r="B99" i="86" l="1"/>
  <c r="B98" i="86"/>
  <c r="B97" i="86"/>
  <c r="B96" i="86"/>
  <c r="B95" i="86"/>
  <c r="B94" i="86"/>
  <c r="B92" i="86"/>
  <c r="B91" i="86"/>
  <c r="B90" i="86"/>
  <c r="B89" i="86"/>
  <c r="B88" i="86"/>
  <c r="B87" i="86"/>
  <c r="B86" i="86"/>
  <c r="B85" i="86"/>
  <c r="C79" i="86"/>
  <c r="E79" i="86" s="1"/>
  <c r="C78" i="86"/>
  <c r="F78" i="86" s="1"/>
  <c r="C77" i="86"/>
  <c r="C76" i="86"/>
  <c r="F76" i="86" s="1"/>
  <c r="C75" i="86"/>
  <c r="E75" i="86" s="1"/>
  <c r="C74" i="86"/>
  <c r="F74" i="86" s="1"/>
  <c r="C73" i="86"/>
  <c r="C72" i="86"/>
  <c r="E72" i="86" s="1"/>
  <c r="C71" i="86"/>
  <c r="E71" i="86" s="1"/>
  <c r="C70" i="86"/>
  <c r="F70" i="86" s="1"/>
  <c r="C69" i="86"/>
  <c r="C68" i="86"/>
  <c r="F68" i="86" s="1"/>
  <c r="C67" i="86"/>
  <c r="E67" i="86" s="1"/>
  <c r="C66" i="86"/>
  <c r="F66" i="86" s="1"/>
  <c r="C65" i="86"/>
  <c r="C64" i="86"/>
  <c r="F64" i="86" s="1"/>
  <c r="C63" i="86"/>
  <c r="E63" i="86" s="1"/>
  <c r="C62" i="86"/>
  <c r="F62" i="86" s="1"/>
  <c r="C61" i="86"/>
  <c r="C60" i="86"/>
  <c r="F60" i="86" s="1"/>
  <c r="C59" i="86"/>
  <c r="E59" i="86" s="1"/>
  <c r="C58" i="86"/>
  <c r="F58" i="86" s="1"/>
  <c r="C57" i="86"/>
  <c r="C56" i="86"/>
  <c r="F56" i="86" s="1"/>
  <c r="C55" i="86"/>
  <c r="E55" i="86" s="1"/>
  <c r="C54" i="86"/>
  <c r="F54" i="86" s="1"/>
  <c r="C53" i="86"/>
  <c r="C52" i="86"/>
  <c r="E52" i="86" s="1"/>
  <c r="C51" i="86"/>
  <c r="E51" i="86" s="1"/>
  <c r="C50" i="86"/>
  <c r="F50" i="86" s="1"/>
  <c r="C49" i="86"/>
  <c r="C48" i="86"/>
  <c r="F48" i="86" s="1"/>
  <c r="C47" i="86"/>
  <c r="E47" i="86" s="1"/>
  <c r="C46" i="86"/>
  <c r="F46" i="86" s="1"/>
  <c r="C45" i="86"/>
  <c r="C44" i="86"/>
  <c r="F44" i="86" s="1"/>
  <c r="C43" i="86"/>
  <c r="C42" i="86"/>
  <c r="F42" i="86" s="1"/>
  <c r="C41" i="86"/>
  <c r="C40" i="86"/>
  <c r="F40" i="86" s="1"/>
  <c r="C39" i="86"/>
  <c r="C38" i="86"/>
  <c r="F38" i="86" s="1"/>
  <c r="C37" i="86"/>
  <c r="C36" i="86"/>
  <c r="F36" i="86" s="1"/>
  <c r="C35" i="86"/>
  <c r="C34" i="86"/>
  <c r="F34" i="86" s="1"/>
  <c r="C33" i="86"/>
  <c r="C32" i="86"/>
  <c r="E32" i="86" s="1"/>
  <c r="C31" i="86"/>
  <c r="C30" i="86"/>
  <c r="F30" i="86" s="1"/>
  <c r="C29" i="86"/>
  <c r="C28" i="86"/>
  <c r="F28" i="86" s="1"/>
  <c r="C27" i="86"/>
  <c r="C26" i="86"/>
  <c r="F26" i="86" s="1"/>
  <c r="C25" i="86"/>
  <c r="C24" i="86"/>
  <c r="F24" i="86" s="1"/>
  <c r="C23" i="86"/>
  <c r="C22" i="86"/>
  <c r="F22" i="86" s="1"/>
  <c r="C21" i="86"/>
  <c r="C20" i="86"/>
  <c r="F20" i="86" s="1"/>
  <c r="C16" i="86"/>
  <c r="C15" i="86"/>
  <c r="C14" i="86"/>
  <c r="C13" i="86"/>
  <c r="C12" i="86"/>
  <c r="C11" i="86"/>
  <c r="B10" i="86"/>
  <c r="C5" i="86"/>
  <c r="L101" i="85"/>
  <c r="B2" i="86"/>
  <c r="E74" i="86" l="1"/>
  <c r="E78" i="86"/>
  <c r="E70" i="86"/>
  <c r="E76" i="86"/>
  <c r="F72" i="86"/>
  <c r="E68" i="86"/>
  <c r="E62" i="86"/>
  <c r="E60" i="86"/>
  <c r="E66" i="86"/>
  <c r="E64" i="86"/>
  <c r="E58" i="86"/>
  <c r="F52" i="86"/>
  <c r="E54" i="86"/>
  <c r="E50" i="86"/>
  <c r="E56" i="86"/>
  <c r="E46" i="86"/>
  <c r="E48" i="86"/>
  <c r="E40" i="86"/>
  <c r="E42" i="86"/>
  <c r="E44" i="86"/>
  <c r="F32" i="86"/>
  <c r="E34" i="86"/>
  <c r="E30" i="86"/>
  <c r="E36" i="86"/>
  <c r="E38" i="86"/>
  <c r="E20" i="86"/>
  <c r="E26" i="86"/>
  <c r="E28" i="86"/>
  <c r="E24" i="86"/>
  <c r="E22" i="86"/>
  <c r="C17" i="86"/>
  <c r="B8" i="86" s="1"/>
  <c r="F53" i="86"/>
  <c r="E53" i="86"/>
  <c r="F69" i="86"/>
  <c r="E69" i="86"/>
  <c r="F25" i="86"/>
  <c r="E25" i="86"/>
  <c r="E23" i="86"/>
  <c r="F23" i="86"/>
  <c r="F41" i="86"/>
  <c r="E41" i="86"/>
  <c r="F49" i="86"/>
  <c r="E49" i="86"/>
  <c r="F61" i="86"/>
  <c r="E61" i="86"/>
  <c r="E27" i="86"/>
  <c r="F27" i="86"/>
  <c r="E43" i="86"/>
  <c r="F43" i="86"/>
  <c r="F73" i="86"/>
  <c r="E73" i="86"/>
  <c r="F29" i="86"/>
  <c r="E29" i="86"/>
  <c r="E31" i="86"/>
  <c r="F31" i="86"/>
  <c r="F33" i="86"/>
  <c r="E33" i="86"/>
  <c r="F57" i="86"/>
  <c r="E57" i="86"/>
  <c r="F77" i="86"/>
  <c r="E77" i="86"/>
  <c r="F45" i="86"/>
  <c r="E45" i="86"/>
  <c r="I19" i="86"/>
  <c r="F21" i="86"/>
  <c r="E21" i="86"/>
  <c r="E35" i="86"/>
  <c r="F35" i="86"/>
  <c r="F37" i="86"/>
  <c r="E37" i="86"/>
  <c r="F65" i="86"/>
  <c r="E65" i="86"/>
  <c r="E39" i="86"/>
  <c r="F39" i="86"/>
  <c r="F47" i="86"/>
  <c r="F51" i="86"/>
  <c r="F55" i="86"/>
  <c r="F59" i="86"/>
  <c r="F63" i="86"/>
  <c r="F67" i="86"/>
  <c r="F71" i="86"/>
  <c r="F75" i="86"/>
  <c r="F79" i="86"/>
  <c r="F80" i="86" l="1"/>
  <c r="Q64" i="85"/>
  <c r="Q66" i="85" s="1"/>
  <c r="Q90" i="85"/>
  <c r="Q91" i="85"/>
  <c r="Q92" i="85"/>
  <c r="Q93" i="85"/>
  <c r="Q94" i="85"/>
  <c r="Q95" i="85"/>
  <c r="Q96" i="85"/>
  <c r="Q97" i="85"/>
  <c r="Q98" i="85"/>
  <c r="Q89" i="85"/>
  <c r="J90" i="85"/>
  <c r="J91" i="85"/>
  <c r="J92" i="85"/>
  <c r="J93" i="85"/>
  <c r="J94" i="85"/>
  <c r="J95" i="85"/>
  <c r="J96" i="85"/>
  <c r="J97" i="85"/>
  <c r="J98" i="85"/>
  <c r="J89" i="85"/>
  <c r="C90" i="85"/>
  <c r="C91" i="85"/>
  <c r="C92" i="85"/>
  <c r="C93" i="85"/>
  <c r="C94" i="85"/>
  <c r="C95" i="85"/>
  <c r="C96" i="85"/>
  <c r="C97" i="85"/>
  <c r="C98" i="85"/>
  <c r="C89" i="85"/>
  <c r="Q84" i="85"/>
  <c r="Q76" i="85"/>
  <c r="Q77" i="85"/>
  <c r="Q78" i="85"/>
  <c r="Q79" i="85"/>
  <c r="Q80" i="85"/>
  <c r="Q81" i="85"/>
  <c r="Q82" i="85"/>
  <c r="Q83" i="85"/>
  <c r="Q75" i="85"/>
  <c r="J76" i="85"/>
  <c r="J77" i="85"/>
  <c r="J78" i="85"/>
  <c r="J79" i="85"/>
  <c r="J80" i="85"/>
  <c r="J81" i="85"/>
  <c r="J82" i="85"/>
  <c r="J83" i="85"/>
  <c r="J84" i="85"/>
  <c r="J75" i="85"/>
  <c r="C84" i="85"/>
  <c r="C83" i="85"/>
  <c r="C82" i="85"/>
  <c r="C81" i="85"/>
  <c r="C80" i="85"/>
  <c r="C79" i="85"/>
  <c r="C78" i="85"/>
  <c r="C76" i="85"/>
  <c r="C77" i="85"/>
  <c r="C75" i="85"/>
  <c r="J64" i="85"/>
  <c r="J66" i="85" s="1"/>
  <c r="C64" i="85"/>
  <c r="C86" i="85" s="1"/>
  <c r="Q57" i="85"/>
  <c r="Q59" i="85" s="1"/>
  <c r="J57" i="85"/>
  <c r="J72" i="85" s="1"/>
  <c r="C57" i="85"/>
  <c r="C72" i="85" s="1"/>
  <c r="J59" i="85" l="1"/>
  <c r="C66" i="85"/>
  <c r="J86" i="85"/>
  <c r="Q86" i="85"/>
  <c r="C59" i="85"/>
  <c r="Q72" i="85"/>
  <c r="B1" i="26"/>
  <c r="B12" i="26" s="1"/>
  <c r="C12" i="26" s="1"/>
  <c r="B109" i="81"/>
  <c r="B108" i="81"/>
  <c r="B107" i="81"/>
  <c r="B106" i="81"/>
  <c r="B105" i="81"/>
  <c r="B104" i="81"/>
  <c r="B101" i="81"/>
  <c r="B100" i="81"/>
  <c r="B99" i="81"/>
  <c r="B98" i="81"/>
  <c r="B97" i="81"/>
  <c r="B96" i="81"/>
  <c r="B93" i="81"/>
  <c r="B92" i="81"/>
  <c r="B91" i="81"/>
  <c r="B90" i="81"/>
  <c r="B89" i="81"/>
  <c r="B88" i="81"/>
  <c r="B87" i="81"/>
  <c r="B86" i="81"/>
  <c r="B83" i="81"/>
  <c r="D83" i="81" s="1"/>
  <c r="B82" i="81"/>
  <c r="D82" i="81" s="1"/>
  <c r="B81" i="81"/>
  <c r="D81" i="81" s="1"/>
  <c r="B80" i="81"/>
  <c r="D80" i="81" s="1"/>
  <c r="B79" i="81"/>
  <c r="D79" i="81" s="1"/>
  <c r="B78" i="81"/>
  <c r="D78" i="81" s="1"/>
  <c r="B77" i="81"/>
  <c r="D77" i="81" s="1"/>
  <c r="B76" i="81"/>
  <c r="D76" i="81" s="1"/>
  <c r="J67" i="81"/>
  <c r="J66" i="81"/>
  <c r="D63" i="81"/>
  <c r="C63" i="81"/>
  <c r="D62" i="81"/>
  <c r="C62" i="81"/>
  <c r="D61" i="81"/>
  <c r="C61" i="81"/>
  <c r="D60" i="81"/>
  <c r="C60" i="81"/>
  <c r="D59" i="81"/>
  <c r="C59" i="81"/>
  <c r="D58" i="81"/>
  <c r="C58" i="81"/>
  <c r="D57" i="81"/>
  <c r="C57" i="81"/>
  <c r="D56" i="81"/>
  <c r="C56" i="81"/>
  <c r="D55" i="81"/>
  <c r="C55" i="81"/>
  <c r="D54" i="81"/>
  <c r="C54" i="81"/>
  <c r="M45" i="82" s="1"/>
  <c r="D53" i="81"/>
  <c r="C53" i="81"/>
  <c r="D52" i="81"/>
  <c r="C52" i="81"/>
  <c r="B53" i="82" s="1"/>
  <c r="D51" i="81"/>
  <c r="C51" i="81"/>
  <c r="B52" i="82" s="1"/>
  <c r="D50" i="81"/>
  <c r="C50" i="81"/>
  <c r="D49" i="81"/>
  <c r="C49" i="81"/>
  <c r="D48" i="81"/>
  <c r="C48" i="81"/>
  <c r="D47" i="81"/>
  <c r="C47" i="81"/>
  <c r="D46" i="81"/>
  <c r="C46" i="81"/>
  <c r="D45" i="81"/>
  <c r="C45" i="81"/>
  <c r="D44" i="81"/>
  <c r="C44" i="81"/>
  <c r="D43" i="81"/>
  <c r="C43" i="81"/>
  <c r="D42" i="81"/>
  <c r="C42" i="81"/>
  <c r="D41" i="81"/>
  <c r="C41" i="81"/>
  <c r="D40" i="81"/>
  <c r="C40" i="81"/>
  <c r="M35" i="82" s="1"/>
  <c r="D39" i="81"/>
  <c r="C39" i="81"/>
  <c r="D38" i="81"/>
  <c r="C38" i="81"/>
  <c r="D37" i="81"/>
  <c r="C37" i="81"/>
  <c r="D36" i="81"/>
  <c r="C36" i="81"/>
  <c r="D35" i="81"/>
  <c r="C35" i="81"/>
  <c r="M30" i="82" s="1"/>
  <c r="D34" i="81"/>
  <c r="C34" i="81"/>
  <c r="D33" i="81"/>
  <c r="C33" i="81"/>
  <c r="E33" i="81" s="1"/>
  <c r="D32" i="81"/>
  <c r="C32" i="81"/>
  <c r="D31" i="81"/>
  <c r="C31" i="81"/>
  <c r="D30" i="81"/>
  <c r="C30" i="81"/>
  <c r="D29" i="81"/>
  <c r="C29" i="81"/>
  <c r="E29" i="81" s="1"/>
  <c r="D28" i="81"/>
  <c r="C28" i="81"/>
  <c r="D27" i="81"/>
  <c r="C27" i="81"/>
  <c r="B32" i="82" s="1"/>
  <c r="D26" i="81"/>
  <c r="C26" i="81"/>
  <c r="D25" i="81"/>
  <c r="C25" i="81"/>
  <c r="D24" i="81"/>
  <c r="C24" i="81"/>
  <c r="D23" i="81"/>
  <c r="C23" i="81"/>
  <c r="E23" i="81" s="1"/>
  <c r="D22" i="81"/>
  <c r="C22" i="81"/>
  <c r="D21" i="81"/>
  <c r="C21" i="81"/>
  <c r="E21" i="81" s="1"/>
  <c r="D20" i="81"/>
  <c r="C20" i="81"/>
  <c r="D19" i="81"/>
  <c r="C19" i="81"/>
  <c r="E19" i="81" s="1"/>
  <c r="D18" i="81"/>
  <c r="C18" i="81"/>
  <c r="D17" i="81"/>
  <c r="C17" i="81"/>
  <c r="D16" i="81"/>
  <c r="C16" i="81"/>
  <c r="D15" i="81"/>
  <c r="C15" i="81"/>
  <c r="D14" i="81"/>
  <c r="C14" i="81"/>
  <c r="D13" i="81"/>
  <c r="C13" i="81"/>
  <c r="D12" i="81"/>
  <c r="C12" i="81"/>
  <c r="B21" i="82" s="1"/>
  <c r="D11" i="81"/>
  <c r="C11" i="81"/>
  <c r="D10" i="81"/>
  <c r="C10" i="81"/>
  <c r="D9" i="81"/>
  <c r="C9" i="81"/>
  <c r="D8" i="81"/>
  <c r="C8" i="81"/>
  <c r="B17" i="82" s="1"/>
  <c r="D7" i="81"/>
  <c r="C7" i="81"/>
  <c r="D6" i="81"/>
  <c r="C6" i="81"/>
  <c r="D5" i="81"/>
  <c r="C5" i="81"/>
  <c r="E5" i="81" s="1"/>
  <c r="D4" i="81"/>
  <c r="K4" i="81"/>
  <c r="C79" i="78"/>
  <c r="J53" i="76" s="1"/>
  <c r="C78" i="78"/>
  <c r="J52" i="76" s="1"/>
  <c r="C77" i="78"/>
  <c r="J51" i="76" s="1"/>
  <c r="C76" i="78"/>
  <c r="F76" i="78" s="1"/>
  <c r="C75" i="78"/>
  <c r="E75" i="78" s="1"/>
  <c r="C74" i="78"/>
  <c r="J48" i="76" s="1"/>
  <c r="C73" i="78"/>
  <c r="F73" i="78" s="1"/>
  <c r="C72" i="78"/>
  <c r="E72" i="78" s="1"/>
  <c r="C71" i="78"/>
  <c r="J45" i="76" s="1"/>
  <c r="C70" i="78"/>
  <c r="J44" i="76" s="1"/>
  <c r="C69" i="78"/>
  <c r="F69" i="78" s="1"/>
  <c r="C68" i="78"/>
  <c r="F68" i="78" s="1"/>
  <c r="C67" i="78"/>
  <c r="E67" i="78" s="1"/>
  <c r="C66" i="78"/>
  <c r="B50" i="76" s="1"/>
  <c r="G50" i="76" s="1"/>
  <c r="C65" i="78"/>
  <c r="B49" i="76" s="1"/>
  <c r="G49" i="76" s="1"/>
  <c r="C64" i="78"/>
  <c r="F64" i="78" s="1"/>
  <c r="C63" i="78"/>
  <c r="B47" i="76" s="1"/>
  <c r="C62" i="78"/>
  <c r="B46" i="76" s="1"/>
  <c r="G46" i="76" s="1"/>
  <c r="C61" i="78"/>
  <c r="B45" i="76" s="1"/>
  <c r="G45" i="76" s="1"/>
  <c r="C60" i="78"/>
  <c r="F60" i="78" s="1"/>
  <c r="C59" i="78"/>
  <c r="E59" i="78" s="1"/>
  <c r="C58" i="78"/>
  <c r="J36" i="76" s="1"/>
  <c r="O36" i="76" s="1"/>
  <c r="C57" i="78"/>
  <c r="J35" i="76" s="1"/>
  <c r="O35" i="76" s="1"/>
  <c r="C56" i="78"/>
  <c r="F56" i="78" s="1"/>
  <c r="C55" i="78"/>
  <c r="J33" i="76" s="1"/>
  <c r="C54" i="78"/>
  <c r="J32" i="76" s="1"/>
  <c r="O32" i="76" s="1"/>
  <c r="C53" i="78"/>
  <c r="F53" i="78" s="1"/>
  <c r="C52" i="78"/>
  <c r="E52" i="78" s="1"/>
  <c r="C51" i="78"/>
  <c r="E51" i="78" s="1"/>
  <c r="C50" i="78"/>
  <c r="J28" i="76" s="1"/>
  <c r="C49" i="78"/>
  <c r="F49" i="78" s="1"/>
  <c r="C48" i="78"/>
  <c r="B36" i="76" s="1"/>
  <c r="G36" i="76" s="1"/>
  <c r="C47" i="78"/>
  <c r="F47" i="78" s="1"/>
  <c r="C46" i="78"/>
  <c r="B34" i="76" s="1"/>
  <c r="C45" i="78"/>
  <c r="B33" i="76" s="1"/>
  <c r="G33" i="76" s="1"/>
  <c r="C44" i="78"/>
  <c r="F44" i="78" s="1"/>
  <c r="C43" i="78"/>
  <c r="E43" i="78" s="1"/>
  <c r="C42" i="78"/>
  <c r="B30" i="76" s="1"/>
  <c r="C41" i="78"/>
  <c r="B29" i="76" s="1"/>
  <c r="G29" i="76" s="1"/>
  <c r="C40" i="78"/>
  <c r="B28" i="76" s="1"/>
  <c r="G28" i="76" s="1"/>
  <c r="C39" i="78"/>
  <c r="E39" i="78" s="1"/>
  <c r="C38" i="78"/>
  <c r="J21" i="76" s="1"/>
  <c r="C37" i="78"/>
  <c r="F37" i="78" s="1"/>
  <c r="C36" i="78"/>
  <c r="J19" i="76" s="1"/>
  <c r="O19" i="76" s="1"/>
  <c r="C35" i="78"/>
  <c r="F35" i="78" s="1"/>
  <c r="C34" i="78"/>
  <c r="E34" i="78" s="1"/>
  <c r="C33" i="78"/>
  <c r="J16" i="76" s="1"/>
  <c r="O16" i="76" s="1"/>
  <c r="C32" i="78"/>
  <c r="J15" i="76" s="1"/>
  <c r="O15" i="76" s="1"/>
  <c r="C31" i="78"/>
  <c r="F31" i="78" s="1"/>
  <c r="C30" i="78"/>
  <c r="F30" i="78" s="1"/>
  <c r="C29" i="78"/>
  <c r="C28" i="78"/>
  <c r="C27" i="78"/>
  <c r="C26" i="78"/>
  <c r="B19" i="76" s="1"/>
  <c r="G19" i="76" s="1"/>
  <c r="C25" i="78"/>
  <c r="B18" i="76" s="1"/>
  <c r="C24" i="78"/>
  <c r="E24" i="78" s="1"/>
  <c r="C23" i="78"/>
  <c r="F23" i="78" s="1"/>
  <c r="C22" i="78"/>
  <c r="B15" i="76" s="1"/>
  <c r="G15" i="76" s="1"/>
  <c r="C21" i="78"/>
  <c r="B14" i="76" s="1"/>
  <c r="G14" i="76" s="1"/>
  <c r="C20" i="78"/>
  <c r="C16" i="78"/>
  <c r="C15" i="78"/>
  <c r="C14" i="78"/>
  <c r="C13" i="78"/>
  <c r="C12" i="78"/>
  <c r="C11" i="78"/>
  <c r="B10" i="78"/>
  <c r="C5" i="78"/>
  <c r="D2" i="78"/>
  <c r="B99" i="83"/>
  <c r="B98" i="83"/>
  <c r="B97" i="83"/>
  <c r="B96" i="83"/>
  <c r="B95" i="83"/>
  <c r="B94" i="83"/>
  <c r="B92" i="83"/>
  <c r="B91" i="83"/>
  <c r="B90" i="83"/>
  <c r="B89" i="83"/>
  <c r="B88" i="83"/>
  <c r="B87" i="83"/>
  <c r="B86" i="83"/>
  <c r="B85" i="83"/>
  <c r="C79" i="83"/>
  <c r="F79" i="83" s="1"/>
  <c r="C78" i="83"/>
  <c r="C77" i="83"/>
  <c r="C76" i="83"/>
  <c r="C75" i="83"/>
  <c r="F75" i="83" s="1"/>
  <c r="C74" i="83"/>
  <c r="C73" i="83"/>
  <c r="F73" i="83" s="1"/>
  <c r="C72" i="83"/>
  <c r="C71" i="83"/>
  <c r="F71" i="83" s="1"/>
  <c r="C70" i="83"/>
  <c r="C69" i="83"/>
  <c r="C68" i="83"/>
  <c r="F68" i="83" s="1"/>
  <c r="C67" i="83"/>
  <c r="F67" i="83" s="1"/>
  <c r="C66" i="83"/>
  <c r="C65" i="83"/>
  <c r="C64" i="83"/>
  <c r="C63" i="83"/>
  <c r="F63" i="83" s="1"/>
  <c r="C62" i="83"/>
  <c r="E62" i="83" s="1"/>
  <c r="C61" i="83"/>
  <c r="E61" i="83" s="1"/>
  <c r="C60" i="83"/>
  <c r="F60" i="83" s="1"/>
  <c r="C59" i="83"/>
  <c r="F59" i="83" s="1"/>
  <c r="C58" i="83"/>
  <c r="C57" i="83"/>
  <c r="C56" i="83"/>
  <c r="C55" i="83"/>
  <c r="F55" i="83" s="1"/>
  <c r="C54" i="83"/>
  <c r="F54" i="83" s="1"/>
  <c r="C53" i="83"/>
  <c r="E53" i="83" s="1"/>
  <c r="C52" i="83"/>
  <c r="F52" i="83" s="1"/>
  <c r="C51" i="83"/>
  <c r="F51" i="83" s="1"/>
  <c r="C50" i="83"/>
  <c r="E50" i="83" s="1"/>
  <c r="C49" i="83"/>
  <c r="E49" i="83" s="1"/>
  <c r="C48" i="83"/>
  <c r="E48" i="83" s="1"/>
  <c r="C47" i="83"/>
  <c r="F47" i="83" s="1"/>
  <c r="C46" i="83"/>
  <c r="F46" i="83" s="1"/>
  <c r="C45" i="83"/>
  <c r="E45" i="83" s="1"/>
  <c r="C44" i="83"/>
  <c r="E44" i="83" s="1"/>
  <c r="C43" i="83"/>
  <c r="F43" i="83" s="1"/>
  <c r="C42" i="83"/>
  <c r="F42" i="83" s="1"/>
  <c r="C41" i="83"/>
  <c r="E41" i="83" s="1"/>
  <c r="C40" i="83"/>
  <c r="F40" i="83" s="1"/>
  <c r="C39" i="83"/>
  <c r="F39" i="83" s="1"/>
  <c r="C38" i="83"/>
  <c r="F38" i="83" s="1"/>
  <c r="C37" i="83"/>
  <c r="E37" i="83" s="1"/>
  <c r="C36" i="83"/>
  <c r="F36" i="83" s="1"/>
  <c r="C35" i="83"/>
  <c r="F35" i="83" s="1"/>
  <c r="C34" i="83"/>
  <c r="F34" i="83" s="1"/>
  <c r="C33" i="83"/>
  <c r="E33" i="83" s="1"/>
  <c r="C32" i="83"/>
  <c r="F32" i="83" s="1"/>
  <c r="C31" i="83"/>
  <c r="F31" i="83" s="1"/>
  <c r="C30" i="83"/>
  <c r="E30" i="83" s="1"/>
  <c r="C29" i="83"/>
  <c r="E29" i="83" s="1"/>
  <c r="C28" i="83"/>
  <c r="F28" i="83" s="1"/>
  <c r="C27" i="83"/>
  <c r="F27" i="83" s="1"/>
  <c r="C26" i="83"/>
  <c r="F26" i="83" s="1"/>
  <c r="C25" i="83"/>
  <c r="C24" i="83"/>
  <c r="F24" i="83" s="1"/>
  <c r="C23" i="83"/>
  <c r="F23" i="83" s="1"/>
  <c r="C22" i="83"/>
  <c r="F22" i="83" s="1"/>
  <c r="C21" i="83"/>
  <c r="C20" i="83"/>
  <c r="E20" i="83" s="1"/>
  <c r="C16" i="83"/>
  <c r="C15" i="83"/>
  <c r="C14" i="83"/>
  <c r="C13" i="83"/>
  <c r="C12" i="83"/>
  <c r="C11" i="83"/>
  <c r="B10" i="83"/>
  <c r="C5" i="83"/>
  <c r="D2" i="83"/>
  <c r="B2" i="83"/>
  <c r="R55" i="82"/>
  <c r="G55" i="82"/>
  <c r="R39" i="82"/>
  <c r="G39" i="82"/>
  <c r="B33" i="82"/>
  <c r="R23" i="82"/>
  <c r="G23" i="82"/>
  <c r="Y9" i="82"/>
  <c r="R102" i="85" s="1"/>
  <c r="Y8" i="82"/>
  <c r="R101" i="85" s="1"/>
  <c r="C116" i="85"/>
  <c r="C114" i="85"/>
  <c r="C112" i="85"/>
  <c r="C110" i="85"/>
  <c r="C108" i="85"/>
  <c r="C106" i="85"/>
  <c r="K111" i="75"/>
  <c r="I111" i="75"/>
  <c r="K110" i="75"/>
  <c r="I110" i="75"/>
  <c r="K109" i="75"/>
  <c r="I109" i="75"/>
  <c r="K108" i="75"/>
  <c r="I108" i="75"/>
  <c r="K107" i="75"/>
  <c r="I107" i="75"/>
  <c r="K106" i="75"/>
  <c r="I106" i="75"/>
  <c r="K105" i="75"/>
  <c r="I105" i="75"/>
  <c r="K104" i="75"/>
  <c r="I104" i="75"/>
  <c r="K103" i="75"/>
  <c r="I103" i="75"/>
  <c r="K102" i="75"/>
  <c r="I102" i="75"/>
  <c r="K101" i="75"/>
  <c r="I101" i="75"/>
  <c r="K100" i="75"/>
  <c r="I100" i="75"/>
  <c r="K99" i="75"/>
  <c r="I99" i="75"/>
  <c r="K98" i="75"/>
  <c r="I98" i="75"/>
  <c r="K97" i="75"/>
  <c r="I97" i="75"/>
  <c r="K96" i="75"/>
  <c r="I96" i="75"/>
  <c r="K95" i="75"/>
  <c r="I95" i="75"/>
  <c r="K94" i="75"/>
  <c r="I94" i="75"/>
  <c r="K93" i="75"/>
  <c r="I93" i="75"/>
  <c r="K92" i="75"/>
  <c r="I92" i="75"/>
  <c r="K91" i="75"/>
  <c r="I91" i="75"/>
  <c r="K90" i="75"/>
  <c r="I90" i="75"/>
  <c r="K89" i="75"/>
  <c r="I89" i="75"/>
  <c r="K88" i="75"/>
  <c r="I88" i="75"/>
  <c r="K87" i="75"/>
  <c r="I87" i="75"/>
  <c r="K86" i="75"/>
  <c r="I86" i="75"/>
  <c r="K85" i="75"/>
  <c r="I85" i="75"/>
  <c r="K84" i="75"/>
  <c r="I84" i="75"/>
  <c r="K83" i="75"/>
  <c r="I83" i="75"/>
  <c r="K82" i="75"/>
  <c r="I82" i="75"/>
  <c r="K81" i="75"/>
  <c r="I81" i="75"/>
  <c r="K80" i="75"/>
  <c r="I80" i="75"/>
  <c r="K79" i="75"/>
  <c r="I79" i="75"/>
  <c r="K78" i="75"/>
  <c r="I78" i="75"/>
  <c r="K77" i="75"/>
  <c r="I77" i="75"/>
  <c r="K76" i="75"/>
  <c r="I76" i="75"/>
  <c r="K75" i="75"/>
  <c r="I75" i="75"/>
  <c r="K74" i="75"/>
  <c r="I74" i="75"/>
  <c r="K73" i="75"/>
  <c r="I73" i="75"/>
  <c r="K72" i="75"/>
  <c r="I72" i="75"/>
  <c r="K71" i="75"/>
  <c r="I71" i="75"/>
  <c r="K70" i="75"/>
  <c r="I70" i="75"/>
  <c r="K69" i="75"/>
  <c r="I69" i="75"/>
  <c r="K68" i="75"/>
  <c r="I68" i="75"/>
  <c r="K67" i="75"/>
  <c r="I67" i="75"/>
  <c r="K66" i="75"/>
  <c r="I66" i="75"/>
  <c r="K65" i="75"/>
  <c r="I65" i="75"/>
  <c r="K64" i="75"/>
  <c r="I64" i="75"/>
  <c r="K63" i="75"/>
  <c r="I63" i="75"/>
  <c r="K62" i="75"/>
  <c r="I62" i="75"/>
  <c r="K61" i="75"/>
  <c r="I61" i="75"/>
  <c r="K60" i="75"/>
  <c r="I60" i="75"/>
  <c r="K59" i="75"/>
  <c r="I59" i="75"/>
  <c r="K58" i="75"/>
  <c r="I58" i="75"/>
  <c r="K57" i="75"/>
  <c r="I57" i="75"/>
  <c r="K56" i="75"/>
  <c r="I56" i="75"/>
  <c r="K55" i="75"/>
  <c r="I55" i="75"/>
  <c r="K54" i="75"/>
  <c r="I54" i="75"/>
  <c r="K53" i="75"/>
  <c r="I53" i="75"/>
  <c r="K52" i="75"/>
  <c r="I52" i="75"/>
  <c r="K51" i="75"/>
  <c r="I51" i="75"/>
  <c r="K50" i="75"/>
  <c r="I50" i="75"/>
  <c r="K49" i="75"/>
  <c r="I49" i="75"/>
  <c r="K48" i="75"/>
  <c r="I48" i="75"/>
  <c r="K47" i="75"/>
  <c r="I47" i="75"/>
  <c r="K46" i="75"/>
  <c r="I46" i="75"/>
  <c r="K45" i="75"/>
  <c r="I45" i="75"/>
  <c r="K44" i="75"/>
  <c r="I44" i="75"/>
  <c r="K43" i="75"/>
  <c r="I43" i="75"/>
  <c r="K42" i="75"/>
  <c r="I42" i="75"/>
  <c r="K41" i="75"/>
  <c r="I41" i="75"/>
  <c r="K40" i="75"/>
  <c r="I40" i="75"/>
  <c r="K39" i="75"/>
  <c r="I39" i="75"/>
  <c r="K38" i="75"/>
  <c r="I38" i="75"/>
  <c r="K37" i="75"/>
  <c r="I37" i="75"/>
  <c r="K36" i="75"/>
  <c r="I36" i="75"/>
  <c r="K35" i="75"/>
  <c r="I35" i="75"/>
  <c r="K34" i="75"/>
  <c r="I34" i="75"/>
  <c r="K33" i="75"/>
  <c r="I33" i="75"/>
  <c r="K32" i="75"/>
  <c r="I32" i="75"/>
  <c r="K31" i="75"/>
  <c r="I31" i="75"/>
  <c r="K30" i="75"/>
  <c r="I30" i="75"/>
  <c r="K29" i="75"/>
  <c r="I29" i="75"/>
  <c r="K28" i="75"/>
  <c r="I28" i="75"/>
  <c r="K27" i="75"/>
  <c r="I27" i="75"/>
  <c r="K26" i="75"/>
  <c r="I26" i="75"/>
  <c r="K25" i="75"/>
  <c r="I25" i="75"/>
  <c r="K24" i="75"/>
  <c r="I24" i="75"/>
  <c r="K23" i="75"/>
  <c r="I23" i="75"/>
  <c r="K22" i="75"/>
  <c r="I22" i="75"/>
  <c r="K21" i="75"/>
  <c r="I21" i="75"/>
  <c r="K20" i="75"/>
  <c r="I20" i="75"/>
  <c r="K111" i="74"/>
  <c r="I111" i="74"/>
  <c r="K110" i="74"/>
  <c r="I110" i="74"/>
  <c r="K109" i="74"/>
  <c r="I109" i="74"/>
  <c r="K108" i="74"/>
  <c r="I108" i="74"/>
  <c r="K107" i="74"/>
  <c r="I107" i="74"/>
  <c r="K106" i="74"/>
  <c r="I106" i="74"/>
  <c r="K105" i="74"/>
  <c r="I105" i="74"/>
  <c r="K104" i="74"/>
  <c r="I104" i="74"/>
  <c r="K103" i="74"/>
  <c r="I103" i="74"/>
  <c r="K102" i="74"/>
  <c r="I102" i="74"/>
  <c r="K101" i="74"/>
  <c r="I101" i="74"/>
  <c r="K100" i="74"/>
  <c r="I100" i="74"/>
  <c r="K99" i="74"/>
  <c r="I99" i="74"/>
  <c r="K98" i="74"/>
  <c r="I98" i="74"/>
  <c r="K97" i="74"/>
  <c r="I97" i="74"/>
  <c r="K96" i="74"/>
  <c r="I96" i="74"/>
  <c r="K95" i="74"/>
  <c r="I95" i="74"/>
  <c r="K94" i="74"/>
  <c r="I94" i="74"/>
  <c r="K93" i="74"/>
  <c r="I93" i="74"/>
  <c r="K92" i="74"/>
  <c r="I92" i="74"/>
  <c r="K91" i="74"/>
  <c r="I91" i="74"/>
  <c r="K90" i="74"/>
  <c r="I90" i="74"/>
  <c r="K89" i="74"/>
  <c r="I89" i="74"/>
  <c r="K88" i="74"/>
  <c r="I88" i="74"/>
  <c r="K87" i="74"/>
  <c r="I87" i="74"/>
  <c r="K86" i="74"/>
  <c r="I86" i="74"/>
  <c r="K85" i="74"/>
  <c r="I85" i="74"/>
  <c r="K84" i="74"/>
  <c r="I84" i="74"/>
  <c r="K83" i="74"/>
  <c r="I83" i="74"/>
  <c r="K82" i="74"/>
  <c r="I82" i="74"/>
  <c r="K81" i="74"/>
  <c r="I81" i="74"/>
  <c r="K80" i="74"/>
  <c r="I80" i="74"/>
  <c r="K79" i="74"/>
  <c r="I79" i="74"/>
  <c r="K78" i="74"/>
  <c r="I78" i="74"/>
  <c r="K77" i="74"/>
  <c r="I77" i="74"/>
  <c r="K76" i="74"/>
  <c r="I76" i="74"/>
  <c r="K75" i="74"/>
  <c r="I75" i="74"/>
  <c r="K74" i="74"/>
  <c r="I74" i="74"/>
  <c r="K73" i="74"/>
  <c r="I73" i="74"/>
  <c r="K72" i="74"/>
  <c r="I72" i="74"/>
  <c r="K71" i="74"/>
  <c r="I71" i="74"/>
  <c r="K70" i="74"/>
  <c r="I70" i="74"/>
  <c r="K69" i="74"/>
  <c r="I69" i="74"/>
  <c r="K68" i="74"/>
  <c r="I68" i="74"/>
  <c r="K67" i="74"/>
  <c r="I67" i="74"/>
  <c r="K66" i="74"/>
  <c r="I66" i="74"/>
  <c r="K65" i="74"/>
  <c r="I65" i="74"/>
  <c r="K64" i="74"/>
  <c r="I64" i="74"/>
  <c r="K63" i="74"/>
  <c r="I63" i="74"/>
  <c r="K62" i="74"/>
  <c r="I62" i="74"/>
  <c r="K61" i="74"/>
  <c r="I61" i="74"/>
  <c r="K60" i="74"/>
  <c r="I60" i="74"/>
  <c r="K59" i="74"/>
  <c r="I59" i="74"/>
  <c r="K58" i="74"/>
  <c r="I58" i="74"/>
  <c r="K57" i="74"/>
  <c r="I57" i="74"/>
  <c r="K56" i="74"/>
  <c r="I56" i="74"/>
  <c r="K55" i="74"/>
  <c r="I55" i="74"/>
  <c r="K54" i="74"/>
  <c r="I54" i="74"/>
  <c r="K53" i="74"/>
  <c r="I53" i="74"/>
  <c r="K52" i="74"/>
  <c r="I52" i="74"/>
  <c r="K51" i="74"/>
  <c r="I51" i="74"/>
  <c r="K50" i="74"/>
  <c r="I50" i="74"/>
  <c r="K49" i="74"/>
  <c r="I49" i="74"/>
  <c r="K48" i="74"/>
  <c r="I48" i="74"/>
  <c r="K47" i="74"/>
  <c r="I47" i="74"/>
  <c r="K46" i="74"/>
  <c r="I46" i="74"/>
  <c r="K45" i="74"/>
  <c r="I45" i="74"/>
  <c r="K44" i="74"/>
  <c r="I44" i="74"/>
  <c r="K43" i="74"/>
  <c r="I43" i="74"/>
  <c r="K42" i="74"/>
  <c r="I42" i="74"/>
  <c r="K41" i="74"/>
  <c r="I41" i="74"/>
  <c r="K40" i="74"/>
  <c r="I40" i="74"/>
  <c r="K39" i="74"/>
  <c r="I39" i="74"/>
  <c r="K38" i="74"/>
  <c r="I38" i="74"/>
  <c r="K37" i="74"/>
  <c r="I37" i="74"/>
  <c r="K36" i="74"/>
  <c r="I36" i="74"/>
  <c r="K35" i="74"/>
  <c r="I35" i="74"/>
  <c r="K34" i="74"/>
  <c r="I34" i="74"/>
  <c r="K33" i="74"/>
  <c r="I33" i="74"/>
  <c r="K32" i="74"/>
  <c r="I32" i="74"/>
  <c r="K31" i="74"/>
  <c r="I31" i="74"/>
  <c r="K30" i="74"/>
  <c r="I30" i="74"/>
  <c r="K29" i="74"/>
  <c r="I29" i="74"/>
  <c r="K28" i="74"/>
  <c r="I28" i="74"/>
  <c r="K27" i="74"/>
  <c r="I27" i="74"/>
  <c r="K26" i="74"/>
  <c r="I26" i="74"/>
  <c r="K25" i="74"/>
  <c r="I25" i="74"/>
  <c r="K24" i="74"/>
  <c r="I24" i="74"/>
  <c r="K23" i="74"/>
  <c r="I23" i="74"/>
  <c r="K22" i="74"/>
  <c r="I22" i="74"/>
  <c r="K21" i="74"/>
  <c r="I21" i="74"/>
  <c r="K20" i="74"/>
  <c r="I20" i="74"/>
  <c r="K111" i="73"/>
  <c r="I111" i="73"/>
  <c r="K110" i="73"/>
  <c r="I110" i="73"/>
  <c r="K109" i="73"/>
  <c r="I109" i="73"/>
  <c r="K108" i="73"/>
  <c r="I108" i="73"/>
  <c r="K107" i="73"/>
  <c r="I107" i="73"/>
  <c r="K106" i="73"/>
  <c r="I106" i="73"/>
  <c r="K105" i="73"/>
  <c r="I105" i="73"/>
  <c r="K104" i="73"/>
  <c r="I104" i="73"/>
  <c r="K103" i="73"/>
  <c r="I103" i="73"/>
  <c r="K102" i="73"/>
  <c r="I102" i="73"/>
  <c r="K101" i="73"/>
  <c r="I101" i="73"/>
  <c r="K100" i="73"/>
  <c r="I100" i="73"/>
  <c r="K99" i="73"/>
  <c r="I99" i="73"/>
  <c r="K98" i="73"/>
  <c r="I98" i="73"/>
  <c r="K97" i="73"/>
  <c r="I97" i="73"/>
  <c r="K96" i="73"/>
  <c r="I96" i="73"/>
  <c r="K95" i="73"/>
  <c r="I95" i="73"/>
  <c r="K94" i="73"/>
  <c r="I94" i="73"/>
  <c r="K93" i="73"/>
  <c r="I93" i="73"/>
  <c r="K92" i="73"/>
  <c r="I92" i="73"/>
  <c r="K91" i="73"/>
  <c r="I91" i="73"/>
  <c r="K90" i="73"/>
  <c r="I90" i="73"/>
  <c r="K89" i="73"/>
  <c r="I89" i="73"/>
  <c r="K88" i="73"/>
  <c r="I88" i="73"/>
  <c r="K87" i="73"/>
  <c r="I87" i="73"/>
  <c r="K86" i="73"/>
  <c r="I86" i="73"/>
  <c r="K85" i="73"/>
  <c r="I85" i="73"/>
  <c r="K84" i="73"/>
  <c r="I84" i="73"/>
  <c r="K83" i="73"/>
  <c r="I83" i="73"/>
  <c r="K82" i="73"/>
  <c r="I82" i="73"/>
  <c r="K81" i="73"/>
  <c r="I81" i="73"/>
  <c r="K80" i="73"/>
  <c r="I80" i="73"/>
  <c r="K79" i="73"/>
  <c r="I79" i="73"/>
  <c r="K78" i="73"/>
  <c r="I78" i="73"/>
  <c r="K77" i="73"/>
  <c r="I77" i="73"/>
  <c r="K76" i="73"/>
  <c r="I76" i="73"/>
  <c r="K75" i="73"/>
  <c r="I75" i="73"/>
  <c r="K74" i="73"/>
  <c r="I74" i="73"/>
  <c r="K73" i="73"/>
  <c r="I73" i="73"/>
  <c r="K72" i="73"/>
  <c r="I72" i="73"/>
  <c r="K71" i="73"/>
  <c r="I71" i="73"/>
  <c r="K70" i="73"/>
  <c r="I70" i="73"/>
  <c r="K69" i="73"/>
  <c r="I69" i="73"/>
  <c r="K68" i="73"/>
  <c r="I68" i="73"/>
  <c r="K67" i="73"/>
  <c r="I67" i="73"/>
  <c r="K66" i="73"/>
  <c r="I66" i="73"/>
  <c r="K65" i="73"/>
  <c r="I65" i="73"/>
  <c r="K64" i="73"/>
  <c r="I64" i="73"/>
  <c r="K63" i="73"/>
  <c r="I63" i="73"/>
  <c r="K62" i="73"/>
  <c r="I62" i="73"/>
  <c r="K61" i="73"/>
  <c r="I61" i="73"/>
  <c r="K60" i="73"/>
  <c r="I60" i="73"/>
  <c r="K59" i="73"/>
  <c r="I59" i="73"/>
  <c r="K58" i="73"/>
  <c r="I58" i="73"/>
  <c r="K57" i="73"/>
  <c r="I57" i="73"/>
  <c r="K56" i="73"/>
  <c r="I56" i="73"/>
  <c r="K55" i="73"/>
  <c r="I55" i="73"/>
  <c r="K54" i="73"/>
  <c r="I54" i="73"/>
  <c r="K53" i="73"/>
  <c r="I53" i="73"/>
  <c r="K52" i="73"/>
  <c r="I52" i="73"/>
  <c r="K51" i="73"/>
  <c r="I51" i="73"/>
  <c r="K50" i="73"/>
  <c r="I50" i="73"/>
  <c r="K49" i="73"/>
  <c r="I49" i="73"/>
  <c r="K48" i="73"/>
  <c r="I48" i="73"/>
  <c r="K47" i="73"/>
  <c r="I47" i="73"/>
  <c r="K46" i="73"/>
  <c r="I46" i="73"/>
  <c r="K45" i="73"/>
  <c r="I45" i="73"/>
  <c r="K44" i="73"/>
  <c r="I44" i="73"/>
  <c r="K43" i="73"/>
  <c r="I43" i="73"/>
  <c r="K42" i="73"/>
  <c r="I42" i="73"/>
  <c r="K41" i="73"/>
  <c r="I41" i="73"/>
  <c r="K40" i="73"/>
  <c r="I40" i="73"/>
  <c r="K39" i="73"/>
  <c r="I39" i="73"/>
  <c r="K38" i="73"/>
  <c r="I38" i="73"/>
  <c r="K37" i="73"/>
  <c r="I37" i="73"/>
  <c r="K36" i="73"/>
  <c r="I36" i="73"/>
  <c r="K35" i="73"/>
  <c r="I35" i="73"/>
  <c r="K34" i="73"/>
  <c r="I34" i="73"/>
  <c r="K33" i="73"/>
  <c r="I33" i="73"/>
  <c r="K32" i="73"/>
  <c r="I32" i="73"/>
  <c r="K31" i="73"/>
  <c r="I31" i="73"/>
  <c r="K30" i="73"/>
  <c r="I30" i="73"/>
  <c r="K29" i="73"/>
  <c r="I29" i="73"/>
  <c r="K28" i="73"/>
  <c r="I28" i="73"/>
  <c r="K27" i="73"/>
  <c r="I27" i="73"/>
  <c r="K26" i="73"/>
  <c r="I26" i="73"/>
  <c r="K25" i="73"/>
  <c r="I25" i="73"/>
  <c r="K24" i="73"/>
  <c r="I24" i="73"/>
  <c r="K23" i="73"/>
  <c r="I23" i="73"/>
  <c r="K22" i="73"/>
  <c r="I22" i="73"/>
  <c r="K21" i="73"/>
  <c r="I21" i="73"/>
  <c r="K20" i="73"/>
  <c r="I20" i="73"/>
  <c r="K111" i="72"/>
  <c r="I111" i="72"/>
  <c r="K110" i="72"/>
  <c r="I110" i="72"/>
  <c r="K109" i="72"/>
  <c r="I109" i="72"/>
  <c r="K108" i="72"/>
  <c r="I108" i="72"/>
  <c r="K107" i="72"/>
  <c r="I107" i="72"/>
  <c r="K106" i="72"/>
  <c r="I106" i="72"/>
  <c r="K105" i="72"/>
  <c r="I105" i="72"/>
  <c r="K104" i="72"/>
  <c r="I104" i="72"/>
  <c r="K103" i="72"/>
  <c r="I103" i="72"/>
  <c r="K102" i="72"/>
  <c r="I102" i="72"/>
  <c r="K101" i="72"/>
  <c r="I101" i="72"/>
  <c r="K100" i="72"/>
  <c r="I100" i="72"/>
  <c r="K99" i="72"/>
  <c r="I99" i="72"/>
  <c r="K98" i="72"/>
  <c r="I98" i="72"/>
  <c r="K97" i="72"/>
  <c r="I97" i="72"/>
  <c r="K96" i="72"/>
  <c r="I96" i="72"/>
  <c r="K95" i="72"/>
  <c r="I95" i="72"/>
  <c r="K94" i="72"/>
  <c r="I94" i="72"/>
  <c r="K93" i="72"/>
  <c r="I93" i="72"/>
  <c r="K92" i="72"/>
  <c r="I92" i="72"/>
  <c r="K91" i="72"/>
  <c r="I91" i="72"/>
  <c r="K90" i="72"/>
  <c r="I90" i="72"/>
  <c r="K89" i="72"/>
  <c r="I89" i="72"/>
  <c r="K88" i="72"/>
  <c r="I88" i="72"/>
  <c r="K87" i="72"/>
  <c r="I87" i="72"/>
  <c r="K86" i="72"/>
  <c r="I86" i="72"/>
  <c r="K85" i="72"/>
  <c r="I85" i="72"/>
  <c r="K84" i="72"/>
  <c r="I84" i="72"/>
  <c r="K83" i="72"/>
  <c r="I83" i="72"/>
  <c r="K82" i="72"/>
  <c r="I82" i="72"/>
  <c r="K81" i="72"/>
  <c r="I81" i="72"/>
  <c r="K80" i="72"/>
  <c r="I80" i="72"/>
  <c r="K79" i="72"/>
  <c r="I79" i="72"/>
  <c r="K78" i="72"/>
  <c r="I78" i="72"/>
  <c r="K77" i="72"/>
  <c r="I77" i="72"/>
  <c r="K76" i="72"/>
  <c r="I76" i="72"/>
  <c r="K75" i="72"/>
  <c r="I75" i="72"/>
  <c r="K74" i="72"/>
  <c r="I74" i="72"/>
  <c r="K73" i="72"/>
  <c r="I73" i="72"/>
  <c r="K72" i="72"/>
  <c r="I72" i="72"/>
  <c r="K71" i="72"/>
  <c r="I71" i="72"/>
  <c r="K70" i="72"/>
  <c r="I70" i="72"/>
  <c r="K69" i="72"/>
  <c r="I69" i="72"/>
  <c r="K68" i="72"/>
  <c r="I68" i="72"/>
  <c r="K67" i="72"/>
  <c r="I67" i="72"/>
  <c r="K66" i="72"/>
  <c r="I66" i="72"/>
  <c r="K65" i="72"/>
  <c r="I65" i="72"/>
  <c r="K64" i="72"/>
  <c r="I64" i="72"/>
  <c r="K63" i="72"/>
  <c r="I63" i="72"/>
  <c r="K62" i="72"/>
  <c r="I62" i="72"/>
  <c r="K61" i="72"/>
  <c r="I61" i="72"/>
  <c r="K60" i="72"/>
  <c r="I60" i="72"/>
  <c r="K59" i="72"/>
  <c r="I59" i="72"/>
  <c r="K58" i="72"/>
  <c r="I58" i="72"/>
  <c r="K57" i="72"/>
  <c r="I57" i="72"/>
  <c r="K56" i="72"/>
  <c r="I56" i="72"/>
  <c r="K55" i="72"/>
  <c r="I55" i="72"/>
  <c r="K54" i="72"/>
  <c r="I54" i="72"/>
  <c r="K53" i="72"/>
  <c r="I53" i="72"/>
  <c r="K52" i="72"/>
  <c r="I52" i="72"/>
  <c r="K51" i="72"/>
  <c r="I51" i="72"/>
  <c r="K50" i="72"/>
  <c r="I50" i="72"/>
  <c r="K49" i="72"/>
  <c r="I49" i="72"/>
  <c r="K48" i="72"/>
  <c r="I48" i="72"/>
  <c r="K47" i="72"/>
  <c r="I47" i="72"/>
  <c r="K46" i="72"/>
  <c r="I46" i="72"/>
  <c r="K45" i="72"/>
  <c r="I45" i="72"/>
  <c r="K44" i="72"/>
  <c r="I44" i="72"/>
  <c r="K43" i="72"/>
  <c r="I43" i="72"/>
  <c r="K42" i="72"/>
  <c r="I42" i="72"/>
  <c r="K41" i="72"/>
  <c r="I41" i="72"/>
  <c r="K40" i="72"/>
  <c r="I40" i="72"/>
  <c r="K39" i="72"/>
  <c r="I39" i="72"/>
  <c r="K38" i="72"/>
  <c r="I38" i="72"/>
  <c r="K37" i="72"/>
  <c r="I37" i="72"/>
  <c r="K36" i="72"/>
  <c r="I36" i="72"/>
  <c r="K35" i="72"/>
  <c r="I35" i="72"/>
  <c r="K34" i="72"/>
  <c r="I34" i="72"/>
  <c r="K33" i="72"/>
  <c r="I33" i="72"/>
  <c r="K32" i="72"/>
  <c r="I32" i="72"/>
  <c r="K31" i="72"/>
  <c r="I31" i="72"/>
  <c r="K30" i="72"/>
  <c r="I30" i="72"/>
  <c r="K29" i="72"/>
  <c r="I29" i="72"/>
  <c r="K28" i="72"/>
  <c r="I28" i="72"/>
  <c r="K27" i="72"/>
  <c r="I27" i="72"/>
  <c r="K26" i="72"/>
  <c r="I26" i="72"/>
  <c r="K25" i="72"/>
  <c r="I25" i="72"/>
  <c r="K24" i="72"/>
  <c r="I24" i="72"/>
  <c r="K23" i="72"/>
  <c r="I23" i="72"/>
  <c r="K22" i="72"/>
  <c r="I22" i="72"/>
  <c r="K21" i="72"/>
  <c r="I21" i="72"/>
  <c r="K20" i="72"/>
  <c r="I20" i="72"/>
  <c r="K111" i="71"/>
  <c r="I111" i="71"/>
  <c r="K110" i="71"/>
  <c r="I110" i="71"/>
  <c r="K109" i="71"/>
  <c r="I109" i="71"/>
  <c r="K108" i="71"/>
  <c r="I108" i="71"/>
  <c r="K107" i="71"/>
  <c r="I107" i="71"/>
  <c r="K106" i="71"/>
  <c r="I106" i="71"/>
  <c r="K105" i="71"/>
  <c r="I105" i="71"/>
  <c r="K104" i="71"/>
  <c r="I104" i="71"/>
  <c r="K103" i="71"/>
  <c r="I103" i="71"/>
  <c r="K102" i="71"/>
  <c r="I102" i="71"/>
  <c r="K101" i="71"/>
  <c r="I101" i="71"/>
  <c r="K100" i="71"/>
  <c r="I100" i="71"/>
  <c r="K99" i="71"/>
  <c r="I99" i="71"/>
  <c r="K98" i="71"/>
  <c r="I98" i="71"/>
  <c r="K97" i="71"/>
  <c r="I97" i="71"/>
  <c r="K96" i="71"/>
  <c r="I96" i="71"/>
  <c r="K95" i="71"/>
  <c r="I95" i="71"/>
  <c r="K94" i="71"/>
  <c r="I94" i="71"/>
  <c r="K93" i="71"/>
  <c r="I93" i="71"/>
  <c r="K92" i="71"/>
  <c r="I92" i="71"/>
  <c r="K91" i="71"/>
  <c r="I91" i="71"/>
  <c r="K90" i="71"/>
  <c r="I90" i="71"/>
  <c r="K89" i="71"/>
  <c r="I89" i="71"/>
  <c r="K88" i="71"/>
  <c r="I88" i="71"/>
  <c r="K87" i="71"/>
  <c r="I87" i="71"/>
  <c r="K86" i="71"/>
  <c r="I86" i="71"/>
  <c r="K85" i="71"/>
  <c r="I85" i="71"/>
  <c r="K84" i="71"/>
  <c r="I84" i="71"/>
  <c r="K83" i="71"/>
  <c r="I83" i="71"/>
  <c r="K82" i="71"/>
  <c r="I82" i="71"/>
  <c r="K81" i="71"/>
  <c r="I81" i="71"/>
  <c r="K80" i="71"/>
  <c r="I80" i="71"/>
  <c r="K79" i="71"/>
  <c r="I79" i="71"/>
  <c r="K78" i="71"/>
  <c r="I78" i="71"/>
  <c r="K77" i="71"/>
  <c r="I77" i="71"/>
  <c r="K76" i="71"/>
  <c r="I76" i="71"/>
  <c r="K75" i="71"/>
  <c r="I75" i="71"/>
  <c r="K74" i="71"/>
  <c r="I74" i="71"/>
  <c r="K73" i="71"/>
  <c r="I73" i="71"/>
  <c r="K72" i="71"/>
  <c r="I72" i="71"/>
  <c r="K71" i="71"/>
  <c r="I71" i="71"/>
  <c r="K70" i="71"/>
  <c r="I70" i="71"/>
  <c r="K69" i="71"/>
  <c r="I69" i="71"/>
  <c r="K68" i="71"/>
  <c r="I68" i="71"/>
  <c r="K67" i="71"/>
  <c r="I67" i="71"/>
  <c r="K66" i="71"/>
  <c r="I66" i="71"/>
  <c r="K65" i="71"/>
  <c r="I65" i="71"/>
  <c r="K64" i="71"/>
  <c r="I64" i="71"/>
  <c r="K63" i="71"/>
  <c r="I63" i="71"/>
  <c r="K62" i="71"/>
  <c r="I62" i="71"/>
  <c r="K61" i="71"/>
  <c r="I61" i="71"/>
  <c r="K60" i="71"/>
  <c r="I60" i="71"/>
  <c r="K59" i="71"/>
  <c r="I59" i="71"/>
  <c r="K58" i="71"/>
  <c r="I58" i="71"/>
  <c r="K57" i="71"/>
  <c r="I57" i="71"/>
  <c r="K56" i="71"/>
  <c r="I56" i="71"/>
  <c r="K55" i="71"/>
  <c r="I55" i="71"/>
  <c r="K54" i="71"/>
  <c r="I54" i="71"/>
  <c r="K53" i="71"/>
  <c r="I53" i="71"/>
  <c r="K52" i="71"/>
  <c r="I52" i="71"/>
  <c r="K51" i="71"/>
  <c r="I51" i="71"/>
  <c r="K50" i="71"/>
  <c r="I50" i="71"/>
  <c r="K49" i="71"/>
  <c r="I49" i="71"/>
  <c r="K48" i="71"/>
  <c r="I48" i="71"/>
  <c r="K47" i="71"/>
  <c r="I47" i="71"/>
  <c r="K46" i="71"/>
  <c r="I46" i="71"/>
  <c r="K45" i="71"/>
  <c r="I45" i="71"/>
  <c r="K44" i="71"/>
  <c r="I44" i="71"/>
  <c r="K43" i="71"/>
  <c r="I43" i="71"/>
  <c r="K42" i="71"/>
  <c r="I42" i="71"/>
  <c r="K41" i="71"/>
  <c r="I41" i="71"/>
  <c r="K40" i="71"/>
  <c r="I40" i="71"/>
  <c r="K39" i="71"/>
  <c r="I39" i="71"/>
  <c r="K38" i="71"/>
  <c r="I38" i="71"/>
  <c r="K37" i="71"/>
  <c r="I37" i="71"/>
  <c r="K36" i="71"/>
  <c r="I36" i="71"/>
  <c r="K35" i="71"/>
  <c r="I35" i="71"/>
  <c r="K34" i="71"/>
  <c r="I34" i="71"/>
  <c r="K33" i="71"/>
  <c r="I33" i="71"/>
  <c r="K32" i="71"/>
  <c r="I32" i="71"/>
  <c r="K31" i="71"/>
  <c r="I31" i="71"/>
  <c r="K30" i="71"/>
  <c r="I30" i="71"/>
  <c r="K29" i="71"/>
  <c r="I29" i="71"/>
  <c r="K28" i="71"/>
  <c r="I28" i="71"/>
  <c r="K27" i="71"/>
  <c r="I27" i="71"/>
  <c r="K26" i="71"/>
  <c r="I26" i="71"/>
  <c r="K25" i="71"/>
  <c r="I25" i="71"/>
  <c r="K24" i="71"/>
  <c r="I24" i="71"/>
  <c r="K23" i="71"/>
  <c r="I23" i="71"/>
  <c r="K22" i="71"/>
  <c r="I22" i="71"/>
  <c r="K21" i="71"/>
  <c r="I21" i="71"/>
  <c r="K20" i="71"/>
  <c r="K111" i="65"/>
  <c r="I111" i="65"/>
  <c r="K110" i="65"/>
  <c r="I110" i="65"/>
  <c r="K109" i="65"/>
  <c r="I109" i="65"/>
  <c r="K108" i="65"/>
  <c r="I108" i="65"/>
  <c r="K107" i="65"/>
  <c r="I107" i="65"/>
  <c r="K106" i="65"/>
  <c r="I106" i="65"/>
  <c r="K105" i="65"/>
  <c r="I105" i="65"/>
  <c r="K104" i="65"/>
  <c r="I104" i="65"/>
  <c r="K103" i="65"/>
  <c r="I103" i="65"/>
  <c r="K102" i="65"/>
  <c r="I102" i="65"/>
  <c r="K101" i="65"/>
  <c r="I101" i="65"/>
  <c r="K100" i="65"/>
  <c r="I100" i="65"/>
  <c r="K99" i="65"/>
  <c r="I99" i="65"/>
  <c r="K98" i="65"/>
  <c r="I98" i="65"/>
  <c r="K97" i="65"/>
  <c r="I97" i="65"/>
  <c r="K96" i="65"/>
  <c r="I96" i="65"/>
  <c r="K95" i="65"/>
  <c r="I95" i="65"/>
  <c r="K94" i="65"/>
  <c r="I94" i="65"/>
  <c r="K93" i="65"/>
  <c r="I93" i="65"/>
  <c r="K92" i="65"/>
  <c r="I92" i="65"/>
  <c r="K91" i="65"/>
  <c r="I91" i="65"/>
  <c r="K90" i="65"/>
  <c r="I90" i="65"/>
  <c r="K89" i="65"/>
  <c r="I89" i="65"/>
  <c r="K88" i="65"/>
  <c r="I88" i="65"/>
  <c r="K87" i="65"/>
  <c r="I87" i="65"/>
  <c r="K86" i="65"/>
  <c r="I86" i="65"/>
  <c r="K85" i="65"/>
  <c r="I85" i="65"/>
  <c r="K84" i="65"/>
  <c r="I84" i="65"/>
  <c r="K83" i="65"/>
  <c r="I83" i="65"/>
  <c r="K82" i="65"/>
  <c r="I82" i="65"/>
  <c r="K81" i="65"/>
  <c r="I81" i="65"/>
  <c r="K80" i="65"/>
  <c r="I80" i="65"/>
  <c r="K79" i="65"/>
  <c r="I79" i="65"/>
  <c r="K78" i="65"/>
  <c r="I78" i="65"/>
  <c r="K77" i="65"/>
  <c r="I77" i="65"/>
  <c r="K76" i="65"/>
  <c r="I76" i="65"/>
  <c r="K75" i="65"/>
  <c r="I75" i="65"/>
  <c r="K74" i="65"/>
  <c r="I74" i="65"/>
  <c r="K73" i="65"/>
  <c r="I73" i="65"/>
  <c r="K72" i="65"/>
  <c r="I72" i="65"/>
  <c r="K71" i="65"/>
  <c r="I71" i="65"/>
  <c r="K70" i="65"/>
  <c r="I70" i="65"/>
  <c r="K69" i="65"/>
  <c r="I69" i="65"/>
  <c r="K68" i="65"/>
  <c r="I68" i="65"/>
  <c r="K67" i="65"/>
  <c r="I67" i="65"/>
  <c r="K66" i="65"/>
  <c r="I66" i="65"/>
  <c r="K65" i="65"/>
  <c r="I65" i="65"/>
  <c r="K64" i="65"/>
  <c r="I64" i="65"/>
  <c r="K63" i="65"/>
  <c r="I63" i="65"/>
  <c r="K62" i="65"/>
  <c r="I62" i="65"/>
  <c r="K61" i="65"/>
  <c r="I61" i="65"/>
  <c r="K60" i="65"/>
  <c r="I60" i="65"/>
  <c r="K59" i="65"/>
  <c r="I59" i="65"/>
  <c r="K58" i="65"/>
  <c r="I58" i="65"/>
  <c r="K57" i="65"/>
  <c r="I57" i="65"/>
  <c r="K56" i="65"/>
  <c r="I56" i="65"/>
  <c r="K55" i="65"/>
  <c r="I55" i="65"/>
  <c r="K54" i="65"/>
  <c r="I54" i="65"/>
  <c r="K53" i="65"/>
  <c r="I53" i="65"/>
  <c r="K52" i="65"/>
  <c r="I52" i="65"/>
  <c r="K51" i="65"/>
  <c r="I51" i="65"/>
  <c r="K50" i="65"/>
  <c r="I50" i="65"/>
  <c r="K49" i="65"/>
  <c r="I49" i="65"/>
  <c r="K48" i="65"/>
  <c r="I48" i="65"/>
  <c r="K47" i="65"/>
  <c r="I47" i="65"/>
  <c r="K46" i="65"/>
  <c r="I46" i="65"/>
  <c r="K45" i="65"/>
  <c r="I45" i="65"/>
  <c r="K44" i="65"/>
  <c r="I44" i="65"/>
  <c r="K43" i="65"/>
  <c r="I43" i="65"/>
  <c r="K42" i="65"/>
  <c r="I42" i="65"/>
  <c r="K41" i="65"/>
  <c r="I41" i="65"/>
  <c r="K40" i="65"/>
  <c r="I40" i="65"/>
  <c r="K39" i="65"/>
  <c r="I39" i="65"/>
  <c r="K38" i="65"/>
  <c r="I38" i="65"/>
  <c r="K37" i="65"/>
  <c r="I37" i="65"/>
  <c r="K36" i="65"/>
  <c r="I36" i="65"/>
  <c r="K35" i="65"/>
  <c r="I35" i="65"/>
  <c r="K34" i="65"/>
  <c r="I34" i="65"/>
  <c r="K33" i="65"/>
  <c r="I33" i="65"/>
  <c r="K32" i="65"/>
  <c r="I32" i="65"/>
  <c r="K31" i="65"/>
  <c r="I31" i="65"/>
  <c r="K30" i="65"/>
  <c r="I30" i="65"/>
  <c r="K29" i="65"/>
  <c r="I29" i="65"/>
  <c r="K28" i="65"/>
  <c r="I28" i="65"/>
  <c r="K27" i="65"/>
  <c r="I27" i="65"/>
  <c r="K26" i="65"/>
  <c r="I26" i="65"/>
  <c r="K25" i="65"/>
  <c r="I25" i="65"/>
  <c r="K24" i="65"/>
  <c r="I24" i="65"/>
  <c r="K23" i="65"/>
  <c r="I23" i="65"/>
  <c r="K22" i="65"/>
  <c r="I22" i="65"/>
  <c r="K21" i="65"/>
  <c r="I21" i="65"/>
  <c r="K20" i="65"/>
  <c r="I20" i="65"/>
  <c r="T40" i="64"/>
  <c r="T39" i="64"/>
  <c r="B39" i="64"/>
  <c r="T37" i="64"/>
  <c r="T36" i="64"/>
  <c r="B36" i="64"/>
  <c r="T34" i="64"/>
  <c r="T33" i="64"/>
  <c r="B33" i="64"/>
  <c r="T31" i="64"/>
  <c r="T30" i="64"/>
  <c r="B30" i="64"/>
  <c r="T28" i="64"/>
  <c r="T27" i="64"/>
  <c r="B27" i="64"/>
  <c r="T25" i="64"/>
  <c r="T24" i="64"/>
  <c r="B24" i="64"/>
  <c r="T22" i="64"/>
  <c r="T21" i="64"/>
  <c r="B21" i="64"/>
  <c r="T19" i="64"/>
  <c r="T18" i="64"/>
  <c r="B18" i="64"/>
  <c r="T16" i="64"/>
  <c r="T15" i="64"/>
  <c r="T13" i="64"/>
  <c r="T12" i="64"/>
  <c r="B12" i="64"/>
  <c r="T8" i="64"/>
  <c r="T40" i="63"/>
  <c r="T39" i="63"/>
  <c r="B39" i="63"/>
  <c r="T37" i="63"/>
  <c r="T36" i="63"/>
  <c r="B36" i="63"/>
  <c r="T34" i="63"/>
  <c r="T33" i="63"/>
  <c r="B33" i="63"/>
  <c r="T31" i="63"/>
  <c r="T30" i="63"/>
  <c r="B30" i="63"/>
  <c r="T28" i="63"/>
  <c r="T27" i="63"/>
  <c r="B27" i="63"/>
  <c r="T25" i="63"/>
  <c r="T24" i="63"/>
  <c r="B24" i="63"/>
  <c r="T22" i="63"/>
  <c r="T21" i="63"/>
  <c r="B21" i="63"/>
  <c r="T19" i="63"/>
  <c r="T18" i="63"/>
  <c r="B18" i="63"/>
  <c r="T16" i="63"/>
  <c r="T15" i="63"/>
  <c r="B15" i="63"/>
  <c r="T13" i="63"/>
  <c r="T12" i="63"/>
  <c r="T8" i="63"/>
  <c r="T40" i="62"/>
  <c r="T39" i="62"/>
  <c r="B39" i="62"/>
  <c r="T37" i="62"/>
  <c r="T36" i="62"/>
  <c r="B36" i="62"/>
  <c r="T34" i="62"/>
  <c r="T33" i="62"/>
  <c r="B33" i="62"/>
  <c r="T31" i="62"/>
  <c r="T30" i="62"/>
  <c r="B30" i="62"/>
  <c r="T28" i="62"/>
  <c r="T27" i="62"/>
  <c r="B27" i="62"/>
  <c r="T25" i="62"/>
  <c r="T24" i="62"/>
  <c r="B24" i="62"/>
  <c r="T22" i="62"/>
  <c r="T21" i="62"/>
  <c r="B21" i="62"/>
  <c r="T19" i="62"/>
  <c r="T18" i="62"/>
  <c r="B18" i="62"/>
  <c r="T16" i="62"/>
  <c r="T15" i="62"/>
  <c r="B15" i="62"/>
  <c r="T13" i="62"/>
  <c r="T12" i="62"/>
  <c r="B12" i="62"/>
  <c r="E14" i="62" s="1"/>
  <c r="T8" i="62"/>
  <c r="T40" i="60"/>
  <c r="T39" i="60"/>
  <c r="T37" i="60"/>
  <c r="T36" i="60"/>
  <c r="T34" i="60"/>
  <c r="T33" i="60"/>
  <c r="T31" i="60"/>
  <c r="T30" i="60"/>
  <c r="B30" i="60"/>
  <c r="T28" i="60"/>
  <c r="T27" i="60"/>
  <c r="B27" i="60"/>
  <c r="T25" i="60"/>
  <c r="T24" i="60"/>
  <c r="B24" i="60"/>
  <c r="T22" i="60"/>
  <c r="T21" i="60"/>
  <c r="B21" i="60"/>
  <c r="T19" i="60"/>
  <c r="T18" i="60"/>
  <c r="B18" i="60"/>
  <c r="T16" i="60"/>
  <c r="T15" i="60"/>
  <c r="B15" i="60"/>
  <c r="T13" i="60"/>
  <c r="T12" i="60"/>
  <c r="T8" i="60"/>
  <c r="T40" i="45"/>
  <c r="T39" i="45"/>
  <c r="B39" i="45"/>
  <c r="T37" i="45"/>
  <c r="T36" i="45"/>
  <c r="B36" i="45"/>
  <c r="T34" i="45"/>
  <c r="T33" i="45"/>
  <c r="B33" i="45"/>
  <c r="T31" i="45"/>
  <c r="T30" i="45"/>
  <c r="B30" i="45"/>
  <c r="T28" i="45"/>
  <c r="T27" i="45"/>
  <c r="B27" i="45"/>
  <c r="T25" i="45"/>
  <c r="T24" i="45"/>
  <c r="B24" i="45"/>
  <c r="T22" i="45"/>
  <c r="T21" i="45"/>
  <c r="B21" i="45"/>
  <c r="T19" i="45"/>
  <c r="T18" i="45"/>
  <c r="B18" i="45"/>
  <c r="T16" i="45"/>
  <c r="T15" i="45"/>
  <c r="B15" i="45"/>
  <c r="T13" i="45"/>
  <c r="T12" i="45"/>
  <c r="B12" i="45"/>
  <c r="T8" i="45"/>
  <c r="J20" i="42"/>
  <c r="J19" i="42"/>
  <c r="J18" i="42"/>
  <c r="J16" i="42"/>
  <c r="J15" i="42"/>
  <c r="J14" i="42"/>
  <c r="J13" i="42"/>
  <c r="J12" i="42"/>
  <c r="J11" i="42"/>
  <c r="F86" i="28"/>
  <c r="C30" i="27"/>
  <c r="C29" i="27"/>
  <c r="C23" i="27"/>
  <c r="F20" i="78" l="1"/>
  <c r="B13" i="76"/>
  <c r="G13" i="76" s="1"/>
  <c r="F66" i="28"/>
  <c r="B8" i="40" s="1"/>
  <c r="F150" i="28"/>
  <c r="B16" i="42" s="1"/>
  <c r="F148" i="28"/>
  <c r="B14" i="42" s="1"/>
  <c r="F146" i="28"/>
  <c r="B12" i="42" s="1"/>
  <c r="F151" i="28"/>
  <c r="B17" i="42" s="1"/>
  <c r="F149" i="28"/>
  <c r="B15" i="42" s="1"/>
  <c r="F147" i="28"/>
  <c r="B13" i="42" s="1"/>
  <c r="M22" i="82"/>
  <c r="F80" i="81"/>
  <c r="J22" i="76"/>
  <c r="O22" i="76" s="1"/>
  <c r="B14" i="82"/>
  <c r="E82" i="81"/>
  <c r="J13" i="76"/>
  <c r="O13" i="76" s="1"/>
  <c r="J29" i="76"/>
  <c r="O29" i="76" s="1"/>
  <c r="O28" i="76"/>
  <c r="B31" i="76"/>
  <c r="G31" i="76" s="1"/>
  <c r="O44" i="76"/>
  <c r="O45" i="76"/>
  <c r="O53" i="76"/>
  <c r="O52" i="76"/>
  <c r="O51" i="76"/>
  <c r="O48" i="76"/>
  <c r="E29" i="78"/>
  <c r="B22" i="76"/>
  <c r="G22" i="76" s="1"/>
  <c r="F27" i="78"/>
  <c r="B20" i="76"/>
  <c r="G20" i="76" s="1"/>
  <c r="F28" i="78"/>
  <c r="B21" i="76"/>
  <c r="G21" i="76" s="1"/>
  <c r="B17" i="76"/>
  <c r="G17" i="76" s="1"/>
  <c r="K56" i="81"/>
  <c r="E56" i="81"/>
  <c r="K60" i="81"/>
  <c r="E60" i="81"/>
  <c r="M48" i="82"/>
  <c r="E57" i="81"/>
  <c r="K61" i="81"/>
  <c r="V52" i="82" s="1"/>
  <c r="E61" i="81"/>
  <c r="K54" i="81"/>
  <c r="E54" i="81"/>
  <c r="Q45" i="82" s="1"/>
  <c r="K58" i="81"/>
  <c r="E58" i="81"/>
  <c r="K62" i="81"/>
  <c r="V53" i="82" s="1"/>
  <c r="E62" i="81"/>
  <c r="K55" i="81"/>
  <c r="E55" i="81"/>
  <c r="K59" i="81"/>
  <c r="E59" i="81"/>
  <c r="M54" i="82"/>
  <c r="E63" i="81"/>
  <c r="K44" i="81"/>
  <c r="E44" i="81"/>
  <c r="B46" i="82"/>
  <c r="E45" i="81"/>
  <c r="B50" i="82"/>
  <c r="E49" i="81"/>
  <c r="K53" i="81"/>
  <c r="E53" i="81"/>
  <c r="K48" i="81"/>
  <c r="E48" i="81"/>
  <c r="K46" i="81"/>
  <c r="E46" i="81"/>
  <c r="K50" i="81"/>
  <c r="E50" i="81"/>
  <c r="K52" i="81"/>
  <c r="K53" i="82" s="1"/>
  <c r="E52" i="81"/>
  <c r="F53" i="82" s="1"/>
  <c r="B48" i="82"/>
  <c r="E47" i="81"/>
  <c r="K51" i="81"/>
  <c r="K52" i="82" s="1"/>
  <c r="E51" i="81"/>
  <c r="F52" i="82" s="1"/>
  <c r="M36" i="82"/>
  <c r="E41" i="81"/>
  <c r="K34" i="81"/>
  <c r="E34" i="81"/>
  <c r="K38" i="81"/>
  <c r="V33" i="82" s="1"/>
  <c r="E38" i="81"/>
  <c r="K42" i="81"/>
  <c r="E42" i="81"/>
  <c r="K35" i="81"/>
  <c r="E35" i="81"/>
  <c r="Q30" i="82" s="1"/>
  <c r="K39" i="81"/>
  <c r="E39" i="81"/>
  <c r="M38" i="82"/>
  <c r="E43" i="81"/>
  <c r="M32" i="82"/>
  <c r="E37" i="81"/>
  <c r="K36" i="81"/>
  <c r="E36" i="81"/>
  <c r="K40" i="81"/>
  <c r="E40" i="81"/>
  <c r="Q35" i="82" s="1"/>
  <c r="B30" i="82"/>
  <c r="E25" i="81"/>
  <c r="K26" i="81"/>
  <c r="E26" i="81"/>
  <c r="B34" i="82"/>
  <c r="F34" i="82" s="1"/>
  <c r="B35" i="76"/>
  <c r="G35" i="76" s="1"/>
  <c r="K27" i="81"/>
  <c r="K32" i="82" s="1"/>
  <c r="E27" i="81"/>
  <c r="F32" i="82" s="1"/>
  <c r="B36" i="82"/>
  <c r="E31" i="81"/>
  <c r="K30" i="81"/>
  <c r="E30" i="81"/>
  <c r="B38" i="82"/>
  <c r="K24" i="81"/>
  <c r="E24" i="81"/>
  <c r="K28" i="81"/>
  <c r="K33" i="82" s="1"/>
  <c r="E28" i="81"/>
  <c r="F33" i="82" s="1"/>
  <c r="K32" i="81"/>
  <c r="E32" i="81"/>
  <c r="K22" i="81"/>
  <c r="E22" i="81"/>
  <c r="K20" i="81"/>
  <c r="E20" i="81"/>
  <c r="K18" i="81"/>
  <c r="E18" i="81"/>
  <c r="K17" i="81"/>
  <c r="E17" i="81"/>
  <c r="M14" i="82"/>
  <c r="E15" i="81"/>
  <c r="K16" i="81"/>
  <c r="E16" i="81"/>
  <c r="K14" i="81"/>
  <c r="E14" i="81"/>
  <c r="F30" i="83"/>
  <c r="K13" i="81"/>
  <c r="E13" i="81"/>
  <c r="E28" i="83"/>
  <c r="K12" i="81"/>
  <c r="K21" i="82" s="1"/>
  <c r="E12" i="81"/>
  <c r="F21" i="82" s="1"/>
  <c r="B20" i="82"/>
  <c r="E11" i="81"/>
  <c r="K10" i="81"/>
  <c r="E10" i="81"/>
  <c r="K9" i="81"/>
  <c r="E9" i="81"/>
  <c r="K8" i="81"/>
  <c r="K17" i="82" s="1"/>
  <c r="E8" i="81"/>
  <c r="F17" i="82" s="1"/>
  <c r="B16" i="82"/>
  <c r="E7" i="81"/>
  <c r="K6" i="81"/>
  <c r="E6" i="81"/>
  <c r="E76" i="81"/>
  <c r="F76" i="81"/>
  <c r="F77" i="81"/>
  <c r="E80" i="81"/>
  <c r="E79" i="81"/>
  <c r="F79" i="81"/>
  <c r="M51" i="82"/>
  <c r="Q51" i="82" s="1"/>
  <c r="F50" i="83"/>
  <c r="F57" i="78"/>
  <c r="K43" i="81"/>
  <c r="F44" i="83"/>
  <c r="E20" i="78"/>
  <c r="B86" i="78" s="1"/>
  <c r="E22" i="83"/>
  <c r="B16" i="76"/>
  <c r="G16" i="76" s="1"/>
  <c r="E77" i="81"/>
  <c r="F82" i="81"/>
  <c r="E83" i="81"/>
  <c r="E78" i="81"/>
  <c r="F83" i="81"/>
  <c r="F78" i="81"/>
  <c r="E81" i="81"/>
  <c r="F81" i="81"/>
  <c r="E75" i="83"/>
  <c r="M53" i="82"/>
  <c r="E77" i="78"/>
  <c r="J49" i="76"/>
  <c r="M52" i="82"/>
  <c r="F77" i="78"/>
  <c r="M46" i="82"/>
  <c r="E71" i="83"/>
  <c r="M47" i="82"/>
  <c r="J35" i="64"/>
  <c r="I35" i="64"/>
  <c r="P35" i="64"/>
  <c r="H35" i="64"/>
  <c r="M35" i="64"/>
  <c r="O35" i="64"/>
  <c r="G35" i="64"/>
  <c r="E35" i="64"/>
  <c r="N35" i="64"/>
  <c r="F35" i="64"/>
  <c r="L35" i="64"/>
  <c r="K35" i="64"/>
  <c r="J50" i="76"/>
  <c r="E76" i="78"/>
  <c r="M49" i="82"/>
  <c r="J26" i="64"/>
  <c r="I26" i="64"/>
  <c r="P26" i="64"/>
  <c r="H26" i="64"/>
  <c r="M26" i="64"/>
  <c r="O26" i="64"/>
  <c r="G26" i="64"/>
  <c r="N26" i="64"/>
  <c r="F26" i="64"/>
  <c r="E26" i="64"/>
  <c r="L26" i="64"/>
  <c r="K26" i="64"/>
  <c r="P29" i="64"/>
  <c r="H29" i="64"/>
  <c r="K29" i="64"/>
  <c r="O29" i="64"/>
  <c r="G29" i="64"/>
  <c r="N29" i="64"/>
  <c r="F29" i="64"/>
  <c r="M29" i="64"/>
  <c r="E29" i="64"/>
  <c r="L29" i="64"/>
  <c r="J29" i="64"/>
  <c r="I29" i="64"/>
  <c r="J47" i="76"/>
  <c r="M50" i="82"/>
  <c r="F72" i="78"/>
  <c r="K20" i="64"/>
  <c r="F20" i="64"/>
  <c r="J20" i="64"/>
  <c r="N20" i="64"/>
  <c r="I20" i="64"/>
  <c r="P20" i="64"/>
  <c r="H20" i="64"/>
  <c r="O20" i="64"/>
  <c r="G20" i="64"/>
  <c r="M20" i="64"/>
  <c r="E20" i="64"/>
  <c r="L20" i="64"/>
  <c r="L14" i="64"/>
  <c r="K14" i="64"/>
  <c r="J14" i="64"/>
  <c r="O14" i="64"/>
  <c r="I14" i="64"/>
  <c r="G14" i="64"/>
  <c r="P14" i="64"/>
  <c r="H14" i="64"/>
  <c r="N14" i="64"/>
  <c r="F14" i="64"/>
  <c r="M14" i="64"/>
  <c r="E14" i="64"/>
  <c r="I38" i="64"/>
  <c r="P38" i="64"/>
  <c r="H38" i="64"/>
  <c r="L38" i="64"/>
  <c r="O38" i="64"/>
  <c r="G38" i="64"/>
  <c r="N38" i="64"/>
  <c r="F38" i="64"/>
  <c r="M38" i="64"/>
  <c r="E38" i="64"/>
  <c r="K38" i="64"/>
  <c r="J38" i="64"/>
  <c r="J23" i="64"/>
  <c r="I23" i="64"/>
  <c r="P23" i="64"/>
  <c r="H23" i="64"/>
  <c r="O23" i="64"/>
  <c r="G23" i="64"/>
  <c r="M23" i="64"/>
  <c r="N23" i="64"/>
  <c r="F23" i="64"/>
  <c r="L23" i="64"/>
  <c r="K23" i="64"/>
  <c r="E23" i="64"/>
  <c r="E79" i="83"/>
  <c r="M32" i="64"/>
  <c r="E32" i="64"/>
  <c r="L32" i="64"/>
  <c r="K32" i="64"/>
  <c r="H32" i="64"/>
  <c r="J32" i="64"/>
  <c r="I32" i="64"/>
  <c r="P32" i="64"/>
  <c r="O32" i="64"/>
  <c r="G32" i="64"/>
  <c r="N32" i="64"/>
  <c r="F32" i="64"/>
  <c r="K57" i="81"/>
  <c r="I41" i="64"/>
  <c r="P41" i="64"/>
  <c r="H41" i="64"/>
  <c r="O41" i="64"/>
  <c r="G41" i="64"/>
  <c r="N41" i="64"/>
  <c r="F41" i="64"/>
  <c r="M41" i="64"/>
  <c r="E41" i="64"/>
  <c r="L41" i="64"/>
  <c r="K41" i="64"/>
  <c r="J41" i="64"/>
  <c r="K17" i="64"/>
  <c r="I17" i="64"/>
  <c r="P17" i="64"/>
  <c r="G17" i="64"/>
  <c r="J17" i="64"/>
  <c r="H17" i="64"/>
  <c r="O17" i="64"/>
  <c r="N17" i="64"/>
  <c r="F17" i="64"/>
  <c r="M17" i="64"/>
  <c r="E17" i="64"/>
  <c r="L17" i="64"/>
  <c r="J46" i="76"/>
  <c r="B51" i="82"/>
  <c r="B53" i="76"/>
  <c r="G53" i="76" s="1"/>
  <c r="E69" i="78"/>
  <c r="B54" i="82"/>
  <c r="K47" i="81"/>
  <c r="B48" i="76"/>
  <c r="G48" i="76" s="1"/>
  <c r="B51" i="76"/>
  <c r="G51" i="76" s="1"/>
  <c r="F65" i="78"/>
  <c r="E61" i="78"/>
  <c r="F61" i="78"/>
  <c r="B45" i="82"/>
  <c r="E60" i="83"/>
  <c r="P23" i="63"/>
  <c r="H23" i="63"/>
  <c r="O23" i="63"/>
  <c r="G23" i="63"/>
  <c r="N23" i="63"/>
  <c r="F23" i="63"/>
  <c r="I23" i="63"/>
  <c r="M23" i="63"/>
  <c r="E23" i="63"/>
  <c r="K23" i="63"/>
  <c r="L23" i="63"/>
  <c r="J23" i="63"/>
  <c r="B44" i="76"/>
  <c r="G44" i="76" s="1"/>
  <c r="E67" i="83"/>
  <c r="P32" i="63"/>
  <c r="H32" i="63"/>
  <c r="K32" i="63"/>
  <c r="O32" i="63"/>
  <c r="G32" i="63"/>
  <c r="N32" i="63"/>
  <c r="F32" i="63"/>
  <c r="M32" i="63"/>
  <c r="E32" i="63"/>
  <c r="L32" i="63"/>
  <c r="J32" i="63"/>
  <c r="I32" i="63"/>
  <c r="N38" i="63"/>
  <c r="F38" i="63"/>
  <c r="I38" i="63"/>
  <c r="M38" i="63"/>
  <c r="E38" i="63"/>
  <c r="L38" i="63"/>
  <c r="K38" i="63"/>
  <c r="J38" i="63"/>
  <c r="P38" i="63"/>
  <c r="H38" i="63"/>
  <c r="O38" i="63"/>
  <c r="G38" i="63"/>
  <c r="B52" i="76"/>
  <c r="G52" i="76" s="1"/>
  <c r="E68" i="78"/>
  <c r="N14" i="63"/>
  <c r="F14" i="63"/>
  <c r="J14" i="63"/>
  <c r="M14" i="63"/>
  <c r="E14" i="63"/>
  <c r="I14" i="63"/>
  <c r="G14" i="63"/>
  <c r="L14" i="63"/>
  <c r="K14" i="63"/>
  <c r="O14" i="63"/>
  <c r="P14" i="63"/>
  <c r="H14" i="63"/>
  <c r="M17" i="63"/>
  <c r="E17" i="63"/>
  <c r="H17" i="63"/>
  <c r="F17" i="63"/>
  <c r="L17" i="63"/>
  <c r="K17" i="63"/>
  <c r="N17" i="63"/>
  <c r="J17" i="63"/>
  <c r="I17" i="63"/>
  <c r="P17" i="63"/>
  <c r="O17" i="63"/>
  <c r="G17" i="63"/>
  <c r="L26" i="63"/>
  <c r="K26" i="63"/>
  <c r="G26" i="63"/>
  <c r="E26" i="63"/>
  <c r="J26" i="63"/>
  <c r="I26" i="63"/>
  <c r="P26" i="63"/>
  <c r="H26" i="63"/>
  <c r="O26" i="63"/>
  <c r="N26" i="63"/>
  <c r="F26" i="63"/>
  <c r="M26" i="63"/>
  <c r="B49" i="82"/>
  <c r="E63" i="83"/>
  <c r="E60" i="78"/>
  <c r="B90" i="78" s="1"/>
  <c r="E64" i="78"/>
  <c r="O35" i="63"/>
  <c r="G35" i="63"/>
  <c r="N35" i="63"/>
  <c r="F35" i="63"/>
  <c r="M35" i="63"/>
  <c r="E35" i="63"/>
  <c r="J35" i="63"/>
  <c r="L35" i="63"/>
  <c r="K35" i="63"/>
  <c r="I35" i="63"/>
  <c r="P35" i="63"/>
  <c r="H35" i="63"/>
  <c r="N41" i="63"/>
  <c r="F41" i="63"/>
  <c r="M41" i="63"/>
  <c r="E41" i="63"/>
  <c r="L41" i="63"/>
  <c r="K41" i="63"/>
  <c r="I41" i="63"/>
  <c r="J41" i="63"/>
  <c r="P41" i="63"/>
  <c r="H41" i="63"/>
  <c r="O41" i="63"/>
  <c r="G41" i="63"/>
  <c r="K20" i="63"/>
  <c r="N20" i="63"/>
  <c r="J20" i="63"/>
  <c r="F20" i="63"/>
  <c r="L20" i="63"/>
  <c r="I20" i="63"/>
  <c r="P20" i="63"/>
  <c r="H20" i="63"/>
  <c r="O20" i="63"/>
  <c r="G20" i="63"/>
  <c r="M20" i="63"/>
  <c r="E20" i="63"/>
  <c r="B47" i="82"/>
  <c r="J29" i="63"/>
  <c r="E29" i="63"/>
  <c r="I29" i="63"/>
  <c r="P29" i="63"/>
  <c r="H29" i="63"/>
  <c r="O29" i="63"/>
  <c r="G29" i="63"/>
  <c r="M29" i="63"/>
  <c r="N29" i="63"/>
  <c r="F29" i="63"/>
  <c r="L29" i="63"/>
  <c r="K29" i="63"/>
  <c r="J30" i="76"/>
  <c r="O30" i="76" s="1"/>
  <c r="J37" i="76"/>
  <c r="O37" i="76" s="1"/>
  <c r="F52" i="78"/>
  <c r="J31" i="76"/>
  <c r="O31" i="76" s="1"/>
  <c r="F53" i="83"/>
  <c r="E53" i="78"/>
  <c r="M33" i="82"/>
  <c r="J34" i="76"/>
  <c r="O34" i="76" s="1"/>
  <c r="E56" i="78"/>
  <c r="M34" i="82"/>
  <c r="M31" i="82"/>
  <c r="E52" i="83"/>
  <c r="M29" i="82"/>
  <c r="P20" i="62"/>
  <c r="H20" i="62"/>
  <c r="O20" i="62"/>
  <c r="G20" i="62"/>
  <c r="K20" i="62"/>
  <c r="N20" i="62"/>
  <c r="F20" i="62"/>
  <c r="M20" i="62"/>
  <c r="E20" i="62"/>
  <c r="I20" i="62"/>
  <c r="L20" i="62"/>
  <c r="J20" i="62"/>
  <c r="M37" i="82"/>
  <c r="O23" i="62"/>
  <c r="G23" i="62"/>
  <c r="N23" i="62"/>
  <c r="F23" i="62"/>
  <c r="M23" i="62"/>
  <c r="E23" i="62"/>
  <c r="J23" i="62"/>
  <c r="P23" i="62"/>
  <c r="L23" i="62"/>
  <c r="K23" i="62"/>
  <c r="I23" i="62"/>
  <c r="H23" i="62"/>
  <c r="L29" i="62"/>
  <c r="K29" i="62"/>
  <c r="G29" i="62"/>
  <c r="E29" i="62"/>
  <c r="J29" i="62"/>
  <c r="O29" i="62"/>
  <c r="I29" i="62"/>
  <c r="M29" i="62"/>
  <c r="P29" i="62"/>
  <c r="H29" i="62"/>
  <c r="N29" i="62"/>
  <c r="F29" i="62"/>
  <c r="M38" i="62"/>
  <c r="E38" i="62"/>
  <c r="L38" i="62"/>
  <c r="K38" i="62"/>
  <c r="J38" i="62"/>
  <c r="P38" i="62"/>
  <c r="I38" i="62"/>
  <c r="H38" i="62"/>
  <c r="O38" i="62"/>
  <c r="G38" i="62"/>
  <c r="N38" i="62"/>
  <c r="F38" i="62"/>
  <c r="I32" i="62"/>
  <c r="P32" i="62"/>
  <c r="H32" i="62"/>
  <c r="O32" i="62"/>
  <c r="G32" i="62"/>
  <c r="N32" i="62"/>
  <c r="F32" i="62"/>
  <c r="L32" i="62"/>
  <c r="M32" i="62"/>
  <c r="E32" i="62"/>
  <c r="K32" i="62"/>
  <c r="J32" i="62"/>
  <c r="E54" i="83"/>
  <c r="P17" i="62"/>
  <c r="H17" i="62"/>
  <c r="K17" i="62"/>
  <c r="O17" i="62"/>
  <c r="G17" i="62"/>
  <c r="N17" i="62"/>
  <c r="F17" i="62"/>
  <c r="I17" i="62"/>
  <c r="M17" i="62"/>
  <c r="E17" i="62"/>
  <c r="L17" i="62"/>
  <c r="J17" i="62"/>
  <c r="M41" i="62"/>
  <c r="E41" i="62"/>
  <c r="L41" i="62"/>
  <c r="H41" i="62"/>
  <c r="K41" i="62"/>
  <c r="P41" i="62"/>
  <c r="J41" i="62"/>
  <c r="I41" i="62"/>
  <c r="O41" i="62"/>
  <c r="G41" i="62"/>
  <c r="N41" i="62"/>
  <c r="F41" i="62"/>
  <c r="P14" i="62"/>
  <c r="H14" i="62"/>
  <c r="O14" i="62"/>
  <c r="G14" i="62"/>
  <c r="L14" i="62"/>
  <c r="N14" i="62"/>
  <c r="F14" i="62"/>
  <c r="I14" i="62"/>
  <c r="M14" i="62"/>
  <c r="K14" i="62"/>
  <c r="J14" i="62"/>
  <c r="N26" i="62"/>
  <c r="F26" i="62"/>
  <c r="G26" i="62"/>
  <c r="M26" i="62"/>
  <c r="E26" i="62"/>
  <c r="L26" i="62"/>
  <c r="K26" i="62"/>
  <c r="I26" i="62"/>
  <c r="J26" i="62"/>
  <c r="P26" i="62"/>
  <c r="H26" i="62"/>
  <c r="O26" i="62"/>
  <c r="N35" i="62"/>
  <c r="F35" i="62"/>
  <c r="M35" i="62"/>
  <c r="E35" i="62"/>
  <c r="L35" i="62"/>
  <c r="I35" i="62"/>
  <c r="K35" i="62"/>
  <c r="J35" i="62"/>
  <c r="P35" i="62"/>
  <c r="H35" i="62"/>
  <c r="O35" i="62"/>
  <c r="G35" i="62"/>
  <c r="F40" i="78"/>
  <c r="E48" i="78"/>
  <c r="E44" i="78"/>
  <c r="B32" i="76"/>
  <c r="G32" i="76" s="1"/>
  <c r="B37" i="82"/>
  <c r="F48" i="78"/>
  <c r="E45" i="78"/>
  <c r="F48" i="83"/>
  <c r="F45" i="78"/>
  <c r="B35" i="82"/>
  <c r="B29" i="82"/>
  <c r="E40" i="83"/>
  <c r="E40" i="78"/>
  <c r="B88" i="78" s="1"/>
  <c r="E42" i="83"/>
  <c r="E46" i="83"/>
  <c r="B37" i="76"/>
  <c r="G37" i="76" s="1"/>
  <c r="B31" i="82"/>
  <c r="M20" i="82"/>
  <c r="Q20" i="82" s="1"/>
  <c r="J17" i="76"/>
  <c r="O17" i="76" s="1"/>
  <c r="E30" i="78"/>
  <c r="B87" i="78" s="1"/>
  <c r="M17" i="82"/>
  <c r="E34" i="83"/>
  <c r="E36" i="83"/>
  <c r="M15" i="82"/>
  <c r="M21" i="82"/>
  <c r="M16" i="82"/>
  <c r="K23" i="81"/>
  <c r="K21" i="81"/>
  <c r="M13" i="82"/>
  <c r="D26" i="60"/>
  <c r="O26" i="60"/>
  <c r="G26" i="60"/>
  <c r="P26" i="60"/>
  <c r="N26" i="60"/>
  <c r="F26" i="60"/>
  <c r="I26" i="60"/>
  <c r="M26" i="60"/>
  <c r="E26" i="60"/>
  <c r="L26" i="60"/>
  <c r="K26" i="60"/>
  <c r="J26" i="60"/>
  <c r="H26" i="60"/>
  <c r="J18" i="76"/>
  <c r="O18" i="76" s="1"/>
  <c r="M18" i="82"/>
  <c r="Q18" i="82" s="1"/>
  <c r="E32" i="83"/>
  <c r="P41" i="60"/>
  <c r="H41" i="60"/>
  <c r="O41" i="60"/>
  <c r="G41" i="60"/>
  <c r="J41" i="60"/>
  <c r="N41" i="60"/>
  <c r="F41" i="60"/>
  <c r="M41" i="60"/>
  <c r="E41" i="60"/>
  <c r="L41" i="60"/>
  <c r="K41" i="60"/>
  <c r="I41" i="60"/>
  <c r="I35" i="60"/>
  <c r="P35" i="60"/>
  <c r="H35" i="60"/>
  <c r="L35" i="60"/>
  <c r="O35" i="60"/>
  <c r="G35" i="60"/>
  <c r="K35" i="60"/>
  <c r="N35" i="60"/>
  <c r="F35" i="60"/>
  <c r="M35" i="60"/>
  <c r="E35" i="60"/>
  <c r="J35" i="60"/>
  <c r="L20" i="60"/>
  <c r="N20" i="60"/>
  <c r="E20" i="60"/>
  <c r="K20" i="60"/>
  <c r="G20" i="60"/>
  <c r="F20" i="60"/>
  <c r="M20" i="60"/>
  <c r="J20" i="60"/>
  <c r="I20" i="60"/>
  <c r="P20" i="60"/>
  <c r="H20" i="60"/>
  <c r="O20" i="60"/>
  <c r="M19" i="82"/>
  <c r="M29" i="60"/>
  <c r="E29" i="60"/>
  <c r="L29" i="60"/>
  <c r="G29" i="60"/>
  <c r="F29" i="60"/>
  <c r="K29" i="60"/>
  <c r="H29" i="60"/>
  <c r="J29" i="60"/>
  <c r="O29" i="60"/>
  <c r="I29" i="60"/>
  <c r="P29" i="60"/>
  <c r="N29" i="60"/>
  <c r="M17" i="60"/>
  <c r="E17" i="60"/>
  <c r="P17" i="60"/>
  <c r="L17" i="60"/>
  <c r="N17" i="60"/>
  <c r="K17" i="60"/>
  <c r="J17" i="60"/>
  <c r="H17" i="60"/>
  <c r="O17" i="60"/>
  <c r="I17" i="60"/>
  <c r="G17" i="60"/>
  <c r="F17" i="60"/>
  <c r="P38" i="60"/>
  <c r="H38" i="60"/>
  <c r="O38" i="60"/>
  <c r="G38" i="60"/>
  <c r="K38" i="60"/>
  <c r="N38" i="60"/>
  <c r="F38" i="60"/>
  <c r="M38" i="60"/>
  <c r="E38" i="60"/>
  <c r="J38" i="60"/>
  <c r="I38" i="60"/>
  <c r="L38" i="60"/>
  <c r="J23" i="60"/>
  <c r="I23" i="60"/>
  <c r="E23" i="60"/>
  <c r="L23" i="60"/>
  <c r="P23" i="60"/>
  <c r="H23" i="60"/>
  <c r="O23" i="60"/>
  <c r="G23" i="60"/>
  <c r="K23" i="60"/>
  <c r="N23" i="60"/>
  <c r="F23" i="60"/>
  <c r="M23" i="60"/>
  <c r="J20" i="76"/>
  <c r="O20" i="76" s="1"/>
  <c r="E38" i="83"/>
  <c r="E31" i="78"/>
  <c r="E37" i="78"/>
  <c r="M14" i="60"/>
  <c r="E14" i="60"/>
  <c r="L14" i="60"/>
  <c r="H14" i="60"/>
  <c r="O14" i="60"/>
  <c r="K14" i="60"/>
  <c r="F14" i="60"/>
  <c r="J14" i="60"/>
  <c r="G14" i="60"/>
  <c r="N14" i="60"/>
  <c r="I14" i="60"/>
  <c r="P14" i="60"/>
  <c r="K32" i="60"/>
  <c r="J32" i="60"/>
  <c r="F32" i="60"/>
  <c r="E32" i="60"/>
  <c r="L32" i="60"/>
  <c r="I32" i="60"/>
  <c r="P32" i="60"/>
  <c r="H32" i="60"/>
  <c r="N32" i="60"/>
  <c r="O32" i="60"/>
  <c r="G32" i="60"/>
  <c r="M32" i="60"/>
  <c r="J14" i="76"/>
  <c r="O14" i="76" s="1"/>
  <c r="K19" i="81"/>
  <c r="F29" i="78"/>
  <c r="B19" i="82"/>
  <c r="B18" i="82"/>
  <c r="B15" i="82"/>
  <c r="F20" i="83"/>
  <c r="E21" i="78"/>
  <c r="F21" i="78"/>
  <c r="L14" i="45"/>
  <c r="F14" i="45"/>
  <c r="N14" i="45"/>
  <c r="O14" i="45"/>
  <c r="E14" i="45"/>
  <c r="M14" i="45"/>
  <c r="G14" i="45"/>
  <c r="H14" i="45"/>
  <c r="P14" i="45"/>
  <c r="I14" i="45"/>
  <c r="K14" i="45"/>
  <c r="J14" i="45"/>
  <c r="H17" i="45"/>
  <c r="P17" i="45"/>
  <c r="J17" i="45"/>
  <c r="K17" i="45"/>
  <c r="G17" i="45"/>
  <c r="I17" i="45"/>
  <c r="L17" i="45"/>
  <c r="E17" i="45"/>
  <c r="M17" i="45"/>
  <c r="O17" i="45"/>
  <c r="F17" i="45"/>
  <c r="N17" i="45"/>
  <c r="J32" i="45"/>
  <c r="E32" i="45"/>
  <c r="K32" i="45"/>
  <c r="L32" i="45"/>
  <c r="M32" i="45"/>
  <c r="O32" i="45"/>
  <c r="F32" i="45"/>
  <c r="N32" i="45"/>
  <c r="G32" i="45"/>
  <c r="H32" i="45"/>
  <c r="P32" i="45"/>
  <c r="I32" i="45"/>
  <c r="E26" i="83"/>
  <c r="F23" i="45"/>
  <c r="N23" i="45"/>
  <c r="K23" i="45"/>
  <c r="G23" i="45"/>
  <c r="O23" i="45"/>
  <c r="H23" i="45"/>
  <c r="P23" i="45"/>
  <c r="I23" i="45"/>
  <c r="J23" i="45"/>
  <c r="L23" i="45"/>
  <c r="E23" i="45"/>
  <c r="M23" i="45"/>
  <c r="J26" i="45"/>
  <c r="K26" i="45"/>
  <c r="M26" i="45"/>
  <c r="L26" i="45"/>
  <c r="E26" i="45"/>
  <c r="F26" i="45"/>
  <c r="N26" i="45"/>
  <c r="G26" i="45"/>
  <c r="H26" i="45"/>
  <c r="P26" i="45"/>
  <c r="I26" i="45"/>
  <c r="O26" i="45"/>
  <c r="B22" i="82"/>
  <c r="E27" i="78"/>
  <c r="F41" i="45"/>
  <c r="N41" i="45"/>
  <c r="K41" i="45"/>
  <c r="G41" i="45"/>
  <c r="O41" i="45"/>
  <c r="H41" i="45"/>
  <c r="P41" i="45"/>
  <c r="I41" i="45"/>
  <c r="J41" i="45"/>
  <c r="L41" i="45"/>
  <c r="E41" i="45"/>
  <c r="M41" i="45"/>
  <c r="F35" i="45"/>
  <c r="N35" i="45"/>
  <c r="I35" i="45"/>
  <c r="G35" i="45"/>
  <c r="O35" i="45"/>
  <c r="H35" i="45"/>
  <c r="P35" i="45"/>
  <c r="J35" i="45"/>
  <c r="L35" i="45"/>
  <c r="E35" i="45"/>
  <c r="M35" i="45"/>
  <c r="K35" i="45"/>
  <c r="J20" i="45"/>
  <c r="K20" i="45"/>
  <c r="G20" i="45"/>
  <c r="L20" i="45"/>
  <c r="E20" i="45"/>
  <c r="M20" i="45"/>
  <c r="O20" i="45"/>
  <c r="F20" i="45"/>
  <c r="N20" i="45"/>
  <c r="H20" i="45"/>
  <c r="P20" i="45"/>
  <c r="I20" i="45"/>
  <c r="E24" i="83"/>
  <c r="E23" i="78"/>
  <c r="F29" i="45"/>
  <c r="N29" i="45"/>
  <c r="K29" i="45"/>
  <c r="G29" i="45"/>
  <c r="O29" i="45"/>
  <c r="H29" i="45"/>
  <c r="P29" i="45"/>
  <c r="I29" i="45"/>
  <c r="J29" i="45"/>
  <c r="L29" i="45"/>
  <c r="E29" i="45"/>
  <c r="M29" i="45"/>
  <c r="J38" i="45"/>
  <c r="K38" i="45"/>
  <c r="M38" i="45"/>
  <c r="O38" i="45"/>
  <c r="L38" i="45"/>
  <c r="E38" i="45"/>
  <c r="F38" i="45"/>
  <c r="N38" i="45"/>
  <c r="H38" i="45"/>
  <c r="P38" i="45"/>
  <c r="I38" i="45"/>
  <c r="G38" i="45"/>
  <c r="C17" i="78"/>
  <c r="B8" i="78" s="1"/>
  <c r="C17" i="83"/>
  <c r="B8" i="83" s="1"/>
  <c r="B12" i="77" s="1"/>
  <c r="F120" i="28"/>
  <c r="B39" i="85" s="1"/>
  <c r="F119" i="28"/>
  <c r="F109" i="28"/>
  <c r="H10" i="84" s="1"/>
  <c r="F107" i="28"/>
  <c r="B10" i="84" s="1"/>
  <c r="F114" i="28"/>
  <c r="F108" i="28"/>
  <c r="E10" i="84" s="1"/>
  <c r="F113" i="28"/>
  <c r="F112" i="28"/>
  <c r="F111" i="28"/>
  <c r="F110" i="28"/>
  <c r="K10" i="84" s="1"/>
  <c r="F106" i="28"/>
  <c r="F105" i="28"/>
  <c r="F104" i="28"/>
  <c r="E23" i="77" s="1"/>
  <c r="F115" i="28"/>
  <c r="I22" i="77" s="1"/>
  <c r="F103" i="28"/>
  <c r="B23" i="77" s="1"/>
  <c r="F102" i="28"/>
  <c r="M104" i="85" s="1"/>
  <c r="F91" i="28"/>
  <c r="F101" i="28"/>
  <c r="M16" i="77" s="1"/>
  <c r="F100" i="28"/>
  <c r="K16" i="77" s="1"/>
  <c r="F97" i="28"/>
  <c r="I11" i="77" s="1"/>
  <c r="F98" i="28"/>
  <c r="K11" i="77" s="1"/>
  <c r="F99" i="28"/>
  <c r="M11" i="77" s="1"/>
  <c r="F133" i="28"/>
  <c r="A13" i="26" s="1"/>
  <c r="P11" i="61" s="1"/>
  <c r="F94" i="28"/>
  <c r="F11" i="77" s="1"/>
  <c r="F96" i="28"/>
  <c r="L104" i="85" s="1"/>
  <c r="F95" i="28"/>
  <c r="K104" i="85" s="1"/>
  <c r="F92" i="28"/>
  <c r="H104" i="85" s="1"/>
  <c r="F93" i="28"/>
  <c r="I104" i="85" s="1"/>
  <c r="F39" i="28"/>
  <c r="C11" i="42" s="1"/>
  <c r="F118" i="28"/>
  <c r="D32" i="60"/>
  <c r="D17" i="63"/>
  <c r="F143" i="28"/>
  <c r="D11" i="26" s="1"/>
  <c r="F121" i="28"/>
  <c r="D41" i="63"/>
  <c r="D41" i="64"/>
  <c r="F47" i="28"/>
  <c r="F11" i="43" s="1"/>
  <c r="D35" i="62"/>
  <c r="F38" i="28"/>
  <c r="C104" i="85" s="1"/>
  <c r="F90" i="28"/>
  <c r="D41" i="45"/>
  <c r="F55" i="28"/>
  <c r="F63" i="28"/>
  <c r="B11" i="72" s="1"/>
  <c r="D14" i="64"/>
  <c r="D26" i="64"/>
  <c r="D26" i="45"/>
  <c r="D14" i="60"/>
  <c r="D29" i="62"/>
  <c r="F80" i="28"/>
  <c r="D20" i="45"/>
  <c r="D29" i="64"/>
  <c r="F72" i="28"/>
  <c r="K3" i="26" s="1"/>
  <c r="K12" i="65" s="1"/>
  <c r="F22" i="28"/>
  <c r="F88" i="28"/>
  <c r="B7" i="84" s="1"/>
  <c r="D23" i="45"/>
  <c r="D41" i="60"/>
  <c r="D20" i="62"/>
  <c r="D26" i="62"/>
  <c r="F30" i="28"/>
  <c r="B7" i="11" s="1"/>
  <c r="F125" i="28"/>
  <c r="A5" i="26" s="1"/>
  <c r="D17" i="45"/>
  <c r="D35" i="60"/>
  <c r="D35" i="64"/>
  <c r="F142" i="28"/>
  <c r="D10" i="26" s="1"/>
  <c r="F134" i="28"/>
  <c r="D2" i="26" s="1"/>
  <c r="B21" i="27"/>
  <c r="F21" i="28"/>
  <c r="B7" i="40" s="1"/>
  <c r="F29" i="28"/>
  <c r="F37" i="28"/>
  <c r="B7" i="42" s="1"/>
  <c r="F46" i="28"/>
  <c r="F54" i="28"/>
  <c r="F62" i="28"/>
  <c r="F71" i="28"/>
  <c r="K2" i="26" s="1"/>
  <c r="F79" i="28"/>
  <c r="F87" i="28"/>
  <c r="B7" i="77" s="1"/>
  <c r="F124" i="28"/>
  <c r="A4" i="26" s="1"/>
  <c r="G11" i="61" s="1"/>
  <c r="F132" i="28"/>
  <c r="A12" i="26" s="1"/>
  <c r="O11" i="61" s="1"/>
  <c r="F141" i="28"/>
  <c r="D9" i="26" s="1"/>
  <c r="D35" i="45"/>
  <c r="D38" i="45"/>
  <c r="F15" i="28"/>
  <c r="F23" i="28"/>
  <c r="F31" i="28"/>
  <c r="B16" i="11" s="1"/>
  <c r="F40" i="28"/>
  <c r="F11" i="42" s="1"/>
  <c r="F48" i="28"/>
  <c r="D19" i="86" s="1"/>
  <c r="F56" i="28"/>
  <c r="F64" i="28"/>
  <c r="F73" i="28"/>
  <c r="K4" i="26" s="1"/>
  <c r="F81" i="28"/>
  <c r="F89" i="28"/>
  <c r="F126" i="28"/>
  <c r="A6" i="26" s="1"/>
  <c r="I11" i="61" s="1"/>
  <c r="F135" i="28"/>
  <c r="D3" i="26" s="1"/>
  <c r="F144" i="28"/>
  <c r="D12" i="26" s="1"/>
  <c r="F16" i="28"/>
  <c r="F74" i="28"/>
  <c r="K5" i="26" s="1"/>
  <c r="F145" i="28"/>
  <c r="D13" i="26" s="1"/>
  <c r="F24" i="28"/>
  <c r="B9" i="27" s="1"/>
  <c r="F49" i="28"/>
  <c r="F116" i="28"/>
  <c r="F12" i="28"/>
  <c r="B7" i="39" s="1"/>
  <c r="F75" i="28"/>
  <c r="F32" i="28"/>
  <c r="B10" i="11" s="1"/>
  <c r="F65" i="28"/>
  <c r="F127" i="28"/>
  <c r="A7" i="26" s="1"/>
  <c r="J11" i="61" s="1"/>
  <c r="F25" i="28"/>
  <c r="B11" i="27" s="1"/>
  <c r="F50" i="28"/>
  <c r="J2" i="26" s="1"/>
  <c r="F67" i="28"/>
  <c r="F137" i="28"/>
  <c r="D5" i="26" s="1"/>
  <c r="F18" i="28"/>
  <c r="F26" i="28"/>
  <c r="B15" i="27" s="1"/>
  <c r="F34" i="28"/>
  <c r="B11" i="11" s="1"/>
  <c r="F43" i="28"/>
  <c r="F51" i="28"/>
  <c r="J3" i="26" s="1"/>
  <c r="F59" i="28"/>
  <c r="F68" i="28"/>
  <c r="F76" i="28"/>
  <c r="F84" i="28"/>
  <c r="B7" i="76" s="1"/>
  <c r="F129" i="28"/>
  <c r="A9" i="26" s="1"/>
  <c r="L11" i="61" s="1"/>
  <c r="F138" i="28"/>
  <c r="D6" i="26" s="1"/>
  <c r="F41" i="28"/>
  <c r="B9" i="42" s="1"/>
  <c r="F82" i="28"/>
  <c r="F136" i="28"/>
  <c r="D4" i="26" s="1"/>
  <c r="F33" i="28"/>
  <c r="B22" i="11" s="1"/>
  <c r="F42" i="28"/>
  <c r="B8" i="42" s="1"/>
  <c r="F58" i="28"/>
  <c r="F83" i="28"/>
  <c r="F128" i="28"/>
  <c r="A8" i="26" s="1"/>
  <c r="K11" i="61" s="1"/>
  <c r="C10" i="39"/>
  <c r="E19" i="86" s="1"/>
  <c r="F19" i="28"/>
  <c r="B20" i="27" s="1"/>
  <c r="F27" i="28"/>
  <c r="F35" i="28"/>
  <c r="B17" i="11" s="1"/>
  <c r="F44" i="28"/>
  <c r="B8" i="61" s="1"/>
  <c r="F52" i="28"/>
  <c r="F60" i="28"/>
  <c r="Q11" i="61" s="1"/>
  <c r="F69" i="28"/>
  <c r="F77" i="28"/>
  <c r="F85" i="28"/>
  <c r="B7" i="82" s="1"/>
  <c r="F122" i="28"/>
  <c r="A2" i="26" s="1"/>
  <c r="E11" i="61" s="1"/>
  <c r="F130" i="28"/>
  <c r="A10" i="26" s="1"/>
  <c r="M11" i="61" s="1"/>
  <c r="F139" i="28"/>
  <c r="D7" i="26" s="1"/>
  <c r="D20" i="60"/>
  <c r="F57" i="28"/>
  <c r="F17" i="28"/>
  <c r="F117" i="28"/>
  <c r="F20" i="28"/>
  <c r="B26" i="27" s="1"/>
  <c r="F28" i="28"/>
  <c r="B13" i="27" s="1"/>
  <c r="F36" i="28"/>
  <c r="B23" i="11" s="1"/>
  <c r="F45" i="28"/>
  <c r="B11" i="61" s="1"/>
  <c r="F53" i="28"/>
  <c r="J4" i="26" s="1"/>
  <c r="F61" i="28"/>
  <c r="F70" i="28"/>
  <c r="N104" i="85" s="1"/>
  <c r="F78" i="28"/>
  <c r="F123" i="28"/>
  <c r="A3" i="26" s="1"/>
  <c r="F11" i="61" s="1"/>
  <c r="F131" i="28"/>
  <c r="A11" i="26" s="1"/>
  <c r="N11" i="61" s="1"/>
  <c r="F140" i="28"/>
  <c r="D8" i="26" s="1"/>
  <c r="D32" i="45"/>
  <c r="D17" i="60"/>
  <c r="D14" i="62"/>
  <c r="D14" i="63"/>
  <c r="D20" i="63"/>
  <c r="D29" i="63"/>
  <c r="D38" i="63"/>
  <c r="D26" i="63"/>
  <c r="D14" i="45"/>
  <c r="D38" i="62"/>
  <c r="D29" i="60"/>
  <c r="D23" i="62"/>
  <c r="D29" i="45"/>
  <c r="D38" i="60"/>
  <c r="D32" i="62"/>
  <c r="D32" i="63"/>
  <c r="D23" i="60"/>
  <c r="D17" i="62"/>
  <c r="D41" i="62"/>
  <c r="D38" i="64"/>
  <c r="D23" i="64"/>
  <c r="D23" i="63"/>
  <c r="D32" i="64"/>
  <c r="D17" i="64"/>
  <c r="D35" i="63"/>
  <c r="D20" i="64"/>
  <c r="G18" i="76"/>
  <c r="G30" i="76"/>
  <c r="G34" i="76"/>
  <c r="G47" i="76"/>
  <c r="O21" i="76"/>
  <c r="O33" i="76"/>
  <c r="E21" i="83"/>
  <c r="F21" i="83"/>
  <c r="E25" i="83"/>
  <c r="F25" i="83"/>
  <c r="I19" i="83"/>
  <c r="F29" i="83"/>
  <c r="F33" i="83"/>
  <c r="F37" i="83"/>
  <c r="F41" i="83"/>
  <c r="F45" i="83"/>
  <c r="F49" i="83"/>
  <c r="F62" i="83"/>
  <c r="F64" i="83"/>
  <c r="F72" i="83"/>
  <c r="F46" i="78"/>
  <c r="E46" i="78"/>
  <c r="E68" i="83"/>
  <c r="E77" i="83"/>
  <c r="F58" i="83"/>
  <c r="E23" i="83"/>
  <c r="E27" i="83"/>
  <c r="E31" i="83"/>
  <c r="E35" i="83"/>
  <c r="E39" i="83"/>
  <c r="E43" i="83"/>
  <c r="E47" i="83"/>
  <c r="E51" i="83"/>
  <c r="E55" i="83"/>
  <c r="E59" i="83"/>
  <c r="F61" i="83"/>
  <c r="F66" i="83"/>
  <c r="E66" i="83"/>
  <c r="E73" i="83"/>
  <c r="F77" i="83"/>
  <c r="E56" i="83"/>
  <c r="E57" i="83"/>
  <c r="E58" i="83"/>
  <c r="F22" i="78"/>
  <c r="E22" i="78"/>
  <c r="F56" i="83"/>
  <c r="F57" i="83"/>
  <c r="E69" i="83"/>
  <c r="E76" i="83"/>
  <c r="F32" i="78"/>
  <c r="E32" i="78"/>
  <c r="D29" i="83"/>
  <c r="E65" i="83"/>
  <c r="F76" i="83"/>
  <c r="F33" i="78"/>
  <c r="E33" i="78"/>
  <c r="E55" i="78"/>
  <c r="F55" i="78"/>
  <c r="E71" i="78"/>
  <c r="F71" i="78"/>
  <c r="E64" i="83"/>
  <c r="F65" i="83"/>
  <c r="F69" i="83"/>
  <c r="E72" i="83"/>
  <c r="F62" i="78"/>
  <c r="E79" i="78"/>
  <c r="F79" i="78"/>
  <c r="F66" i="78"/>
  <c r="F70" i="78"/>
  <c r="K11" i="81"/>
  <c r="F42" i="78"/>
  <c r="E54" i="78"/>
  <c r="E62" i="78"/>
  <c r="E66" i="78"/>
  <c r="F74" i="78"/>
  <c r="F78" i="78"/>
  <c r="K7" i="81"/>
  <c r="E70" i="83"/>
  <c r="E74" i="83"/>
  <c r="E78" i="83"/>
  <c r="I19" i="78"/>
  <c r="F24" i="78"/>
  <c r="E25" i="78"/>
  <c r="F34" i="78"/>
  <c r="E35" i="78"/>
  <c r="E36" i="78"/>
  <c r="F54" i="78"/>
  <c r="E70" i="78"/>
  <c r="B91" i="78" s="1"/>
  <c r="E74" i="78"/>
  <c r="F70" i="83"/>
  <c r="F74" i="83"/>
  <c r="F78" i="83"/>
  <c r="F25" i="78"/>
  <c r="E26" i="78"/>
  <c r="F36" i="78"/>
  <c r="E38" i="78"/>
  <c r="F39" i="78"/>
  <c r="E41" i="78"/>
  <c r="E42" i="78"/>
  <c r="F50" i="78"/>
  <c r="E78" i="78"/>
  <c r="K5" i="81"/>
  <c r="F26" i="78"/>
  <c r="E28" i="78"/>
  <c r="D29" i="78"/>
  <c r="F38" i="78"/>
  <c r="F41" i="78"/>
  <c r="E49" i="78"/>
  <c r="E50" i="78"/>
  <c r="B89" i="78" s="1"/>
  <c r="F58" i="78"/>
  <c r="E47" i="78"/>
  <c r="E57" i="78"/>
  <c r="E58" i="78"/>
  <c r="E63" i="78"/>
  <c r="F63" i="78"/>
  <c r="K29" i="81"/>
  <c r="K31" i="81"/>
  <c r="K33" i="81"/>
  <c r="K49" i="81"/>
  <c r="E65" i="78"/>
  <c r="E73" i="78"/>
  <c r="K25" i="81"/>
  <c r="F43" i="78"/>
  <c r="F51" i="78"/>
  <c r="F59" i="78"/>
  <c r="F67" i="78"/>
  <c r="F75" i="78"/>
  <c r="K37" i="81"/>
  <c r="V32" i="82" s="1"/>
  <c r="K41" i="81"/>
  <c r="K45" i="81"/>
  <c r="K15" i="81"/>
  <c r="Q22" i="82"/>
  <c r="K63" i="81"/>
  <c r="G76" i="81"/>
  <c r="G77" i="81"/>
  <c r="G78" i="81"/>
  <c r="G79" i="81"/>
  <c r="G80" i="81"/>
  <c r="G81" i="81"/>
  <c r="G82" i="81"/>
  <c r="G83" i="81"/>
  <c r="B5" i="26"/>
  <c r="C5" i="26" s="1"/>
  <c r="H76" i="81"/>
  <c r="H77" i="81"/>
  <c r="H78" i="81"/>
  <c r="H79" i="81"/>
  <c r="H80" i="81"/>
  <c r="H81" i="81"/>
  <c r="H82" i="81"/>
  <c r="H83" i="81"/>
  <c r="B7" i="26"/>
  <c r="C7" i="26" s="1"/>
  <c r="B9" i="26"/>
  <c r="C9" i="26" s="1"/>
  <c r="B11" i="26"/>
  <c r="C11" i="26" s="1"/>
  <c r="B13" i="26"/>
  <c r="C13" i="26" s="1"/>
  <c r="B4" i="26"/>
  <c r="C4" i="26" s="1"/>
  <c r="B3" i="26"/>
  <c r="C3" i="26" s="1"/>
  <c r="C76" i="81"/>
  <c r="C77" i="81"/>
  <c r="C78" i="81"/>
  <c r="C79" i="81"/>
  <c r="C80" i="81"/>
  <c r="C81" i="81"/>
  <c r="C82" i="81"/>
  <c r="C83" i="81"/>
  <c r="B2" i="26"/>
  <c r="C2" i="26" s="1"/>
  <c r="B6" i="26"/>
  <c r="C6" i="26" s="1"/>
  <c r="B8" i="26"/>
  <c r="C8" i="26" s="1"/>
  <c r="B10" i="26"/>
  <c r="C10" i="26" s="1"/>
  <c r="K16" i="82" l="1"/>
  <c r="E10" i="61"/>
  <c r="E10" i="75"/>
  <c r="E10" i="73"/>
  <c r="E10" i="71"/>
  <c r="E10" i="63"/>
  <c r="E10" i="60"/>
  <c r="E10" i="53"/>
  <c r="E10" i="51"/>
  <c r="E10" i="74"/>
  <c r="E10" i="72"/>
  <c r="E10" i="64"/>
  <c r="E10" i="62"/>
  <c r="E10" i="54"/>
  <c r="E10" i="52"/>
  <c r="E10" i="46"/>
  <c r="B10" i="43"/>
  <c r="B10" i="75"/>
  <c r="B10" i="74"/>
  <c r="B10" i="73"/>
  <c r="B10" i="72"/>
  <c r="B10" i="71"/>
  <c r="B10" i="64"/>
  <c r="B10" i="63"/>
  <c r="B10" i="62"/>
  <c r="B10" i="60"/>
  <c r="B10" i="54"/>
  <c r="B10" i="53"/>
  <c r="B10" i="52"/>
  <c r="B10" i="51"/>
  <c r="B10" i="46"/>
  <c r="B10" i="61"/>
  <c r="B10" i="45"/>
  <c r="F10" i="75"/>
  <c r="F10" i="74"/>
  <c r="F10" i="73"/>
  <c r="F10" i="72"/>
  <c r="F10" i="71"/>
  <c r="F10" i="64"/>
  <c r="F10" i="63"/>
  <c r="F10" i="62"/>
  <c r="F10" i="60"/>
  <c r="F10" i="54"/>
  <c r="F10" i="53"/>
  <c r="F10" i="52"/>
  <c r="F10" i="51"/>
  <c r="F10" i="46"/>
  <c r="F10" i="61"/>
  <c r="D36" i="45"/>
  <c r="D11" i="61"/>
  <c r="D15" i="61"/>
  <c r="D27" i="61"/>
  <c r="D39" i="61"/>
  <c r="D21" i="61"/>
  <c r="D33" i="61"/>
  <c r="D36" i="61"/>
  <c r="D18" i="61"/>
  <c r="D24" i="61"/>
  <c r="D30" i="61"/>
  <c r="D12" i="61"/>
  <c r="B7" i="43"/>
  <c r="B7" i="61"/>
  <c r="H11" i="60"/>
  <c r="H11" i="61"/>
  <c r="Q12" i="61" a="1"/>
  <c r="Q12" i="61" s="1"/>
  <c r="Q15" i="61" a="1"/>
  <c r="Q15" i="61" s="1"/>
  <c r="R15" i="61" a="1"/>
  <c r="R15" i="61" s="1"/>
  <c r="Q16" i="61"/>
  <c r="Q18" i="61" a="1"/>
  <c r="Q18" i="61" s="1"/>
  <c r="Q21" i="61" a="1"/>
  <c r="Q21" i="61" s="1"/>
  <c r="R21" i="61" a="1"/>
  <c r="R21" i="61" s="1"/>
  <c r="Q22" i="61"/>
  <c r="Q24" i="61" a="1"/>
  <c r="Q24" i="61" s="1"/>
  <c r="Q27" i="61" a="1"/>
  <c r="Q27" i="61" s="1"/>
  <c r="R27" i="61" a="1"/>
  <c r="R27" i="61" s="1"/>
  <c r="Q28" i="61"/>
  <c r="Q30" i="61" a="1"/>
  <c r="Q30" i="61" s="1"/>
  <c r="Q33" i="61" a="1"/>
  <c r="Q33" i="61" s="1"/>
  <c r="R33" i="61" a="1"/>
  <c r="R33" i="61" s="1"/>
  <c r="Q34" i="61"/>
  <c r="Q36" i="61" a="1"/>
  <c r="Q36" i="61" s="1"/>
  <c r="Q39" i="61" a="1"/>
  <c r="Q39" i="61" s="1"/>
  <c r="R39" i="61" a="1"/>
  <c r="R39" i="61" s="1"/>
  <c r="Q40" i="61"/>
  <c r="R12" i="61" a="1"/>
  <c r="R12" i="61" s="1"/>
  <c r="Q13" i="61"/>
  <c r="R22" i="61" a="1"/>
  <c r="R22" i="61" s="1"/>
  <c r="R24" i="61" a="1"/>
  <c r="R24" i="61" s="1"/>
  <c r="Q25" i="61"/>
  <c r="R34" i="61" a="1"/>
  <c r="R34" i="61" s="1"/>
  <c r="R36" i="61" a="1"/>
  <c r="R36" i="61" s="1"/>
  <c r="Q37" i="61"/>
  <c r="R16" i="61" a="1"/>
  <c r="R16" i="61" s="1"/>
  <c r="R18" i="61" a="1"/>
  <c r="R18" i="61" s="1"/>
  <c r="Q19" i="61"/>
  <c r="R28" i="61" a="1"/>
  <c r="R28" i="61" s="1"/>
  <c r="R30" i="61" a="1"/>
  <c r="R30" i="61" s="1"/>
  <c r="Q31" i="61"/>
  <c r="R40" i="61" a="1"/>
  <c r="R40" i="61" s="1"/>
  <c r="R37" i="61" a="1"/>
  <c r="R37" i="61" s="1"/>
  <c r="R25" i="61" a="1"/>
  <c r="R25" i="61" s="1"/>
  <c r="R13" i="61" a="1"/>
  <c r="R13" i="61" s="1"/>
  <c r="R31" i="61" a="1"/>
  <c r="R31" i="61" s="1"/>
  <c r="R19" i="61" a="1"/>
  <c r="R19" i="61" s="1"/>
  <c r="D37" i="45"/>
  <c r="D16" i="61"/>
  <c r="D28" i="61"/>
  <c r="D40" i="61"/>
  <c r="D22" i="61"/>
  <c r="D34" i="61"/>
  <c r="D37" i="61"/>
  <c r="D25" i="61"/>
  <c r="D31" i="61"/>
  <c r="D19" i="61"/>
  <c r="D13" i="61"/>
  <c r="C10" i="61"/>
  <c r="C10" i="74"/>
  <c r="C10" i="72"/>
  <c r="C10" i="64"/>
  <c r="C10" i="62"/>
  <c r="C10" i="54"/>
  <c r="C10" i="52"/>
  <c r="C10" i="46"/>
  <c r="C10" i="75"/>
  <c r="C10" i="73"/>
  <c r="C10" i="71"/>
  <c r="C10" i="63"/>
  <c r="C10" i="60"/>
  <c r="C10" i="53"/>
  <c r="C10" i="51"/>
  <c r="G10" i="61"/>
  <c r="G10" i="74"/>
  <c r="G10" i="72"/>
  <c r="G10" i="64"/>
  <c r="G10" i="62"/>
  <c r="G10" i="54"/>
  <c r="G10" i="52"/>
  <c r="G10" i="46"/>
  <c r="G10" i="75"/>
  <c r="G10" i="73"/>
  <c r="G10" i="71"/>
  <c r="G10" i="63"/>
  <c r="G10" i="60"/>
  <c r="G10" i="53"/>
  <c r="G10" i="51"/>
  <c r="D10" i="75"/>
  <c r="D10" i="74"/>
  <c r="D10" i="73"/>
  <c r="D10" i="72"/>
  <c r="D10" i="71"/>
  <c r="D10" i="64"/>
  <c r="D10" i="63"/>
  <c r="D10" i="62"/>
  <c r="D10" i="60"/>
  <c r="D10" i="54"/>
  <c r="D10" i="53"/>
  <c r="D10" i="51"/>
  <c r="D10" i="46"/>
  <c r="D10" i="61"/>
  <c r="F37" i="82"/>
  <c r="K22" i="82"/>
  <c r="Q54" i="82"/>
  <c r="V22" i="82"/>
  <c r="Q37" i="60"/>
  <c r="R36" i="60" a="1"/>
  <c r="R36" i="60" s="1"/>
  <c r="R34" i="60" a="1"/>
  <c r="R34" i="60" s="1"/>
  <c r="R33" i="60" a="1"/>
  <c r="R33" i="60" s="1"/>
  <c r="R39" i="60" a="1"/>
  <c r="R39" i="60" s="1"/>
  <c r="R40" i="60" a="1"/>
  <c r="R40" i="60" s="1"/>
  <c r="R37" i="60" a="1"/>
  <c r="R37" i="60" s="1"/>
  <c r="Q36" i="60" a="1"/>
  <c r="Q36" i="60" s="1"/>
  <c r="Q34" i="60"/>
  <c r="Q33" i="60" a="1"/>
  <c r="Q33" i="60" s="1"/>
  <c r="Q39" i="60" a="1"/>
  <c r="Q39" i="60" s="1"/>
  <c r="Q40" i="60"/>
  <c r="L12" i="65"/>
  <c r="R34" i="45" a="1"/>
  <c r="R34" i="45" s="1"/>
  <c r="R33" i="45" a="1"/>
  <c r="R33" i="45" s="1"/>
  <c r="R40" i="45" a="1"/>
  <c r="R40" i="45" s="1"/>
  <c r="Q39" i="45" a="1"/>
  <c r="Q39" i="45" s="1"/>
  <c r="Q36" i="45" a="1"/>
  <c r="Q36" i="45" s="1"/>
  <c r="Q37" i="45"/>
  <c r="Q37" i="64"/>
  <c r="Q36" i="64" a="1"/>
  <c r="Q36" i="64" s="1"/>
  <c r="Q33" i="64" a="1"/>
  <c r="Q33" i="64" s="1"/>
  <c r="Q34" i="64"/>
  <c r="R39" i="64" a="1"/>
  <c r="R39" i="64" s="1"/>
  <c r="R40" i="64" a="1"/>
  <c r="R40" i="64" s="1"/>
  <c r="Q30" i="64" a="1"/>
  <c r="Q30" i="64" s="1"/>
  <c r="Q31" i="64"/>
  <c r="Q28" i="60"/>
  <c r="Q27" i="60" a="1"/>
  <c r="Q27" i="60" s="1"/>
  <c r="Q30" i="60" a="1"/>
  <c r="Q30" i="60" s="1"/>
  <c r="Q31" i="60"/>
  <c r="R28" i="63" a="1"/>
  <c r="R28" i="63" s="1"/>
  <c r="Q30" i="63" a="1"/>
  <c r="Q30" i="63" s="1"/>
  <c r="R36" i="63" a="1"/>
  <c r="R36" i="63" s="1"/>
  <c r="R39" i="62" a="1"/>
  <c r="R39" i="62" s="1"/>
  <c r="Q28" i="62"/>
  <c r="Q33" i="45" a="1"/>
  <c r="Q33" i="45" s="1"/>
  <c r="Q34" i="45"/>
  <c r="Q40" i="45"/>
  <c r="R39" i="45" a="1"/>
  <c r="R39" i="45" s="1"/>
  <c r="R41" i="45" s="1"/>
  <c r="R36" i="45" a="1"/>
  <c r="R36" i="45" s="1"/>
  <c r="R37" i="45" a="1"/>
  <c r="R37" i="45" s="1"/>
  <c r="R37" i="64" a="1"/>
  <c r="R37" i="64" s="1"/>
  <c r="R36" i="64" a="1"/>
  <c r="R36" i="64" s="1"/>
  <c r="R33" i="64" a="1"/>
  <c r="R33" i="64" s="1"/>
  <c r="R34" i="64" a="1"/>
  <c r="R34" i="64" s="1"/>
  <c r="Q39" i="64" a="1"/>
  <c r="Q39" i="64" s="1"/>
  <c r="Q40" i="64"/>
  <c r="R30" i="64" a="1"/>
  <c r="R30" i="64" s="1"/>
  <c r="R31" i="64" a="1"/>
  <c r="R31" i="64" s="1"/>
  <c r="R27" i="60" a="1"/>
  <c r="R27" i="60" s="1"/>
  <c r="R28" i="60" a="1"/>
  <c r="R28" i="60" s="1"/>
  <c r="R31" i="60" a="1"/>
  <c r="R31" i="60" s="1"/>
  <c r="R30" i="60" a="1"/>
  <c r="R30" i="60" s="1"/>
  <c r="Q39" i="63" a="1"/>
  <c r="Q39" i="63" s="1"/>
  <c r="Q34" i="62"/>
  <c r="R36" i="62" a="1"/>
  <c r="R36" i="62" s="1"/>
  <c r="R30" i="62" a="1"/>
  <c r="R30" i="62" s="1"/>
  <c r="R33" i="63" a="1"/>
  <c r="R33" i="63" s="1"/>
  <c r="F36" i="82"/>
  <c r="V19" i="82"/>
  <c r="B5" i="78"/>
  <c r="D5" i="78" s="1"/>
  <c r="E10" i="45"/>
  <c r="E10" i="43"/>
  <c r="E10" i="65"/>
  <c r="B14" i="86"/>
  <c r="C63" i="85"/>
  <c r="B14" i="78"/>
  <c r="B14" i="83"/>
  <c r="B34" i="81"/>
  <c r="B10" i="65"/>
  <c r="B11" i="86"/>
  <c r="C56" i="85"/>
  <c r="B4" i="81"/>
  <c r="B11" i="78"/>
  <c r="B11" i="83"/>
  <c r="F10" i="43"/>
  <c r="F10" i="65"/>
  <c r="F10" i="45"/>
  <c r="B15" i="86"/>
  <c r="J63" i="85"/>
  <c r="B44" i="81"/>
  <c r="B15" i="78"/>
  <c r="B15" i="83"/>
  <c r="C10" i="43"/>
  <c r="C10" i="45"/>
  <c r="C10" i="65"/>
  <c r="B12" i="86"/>
  <c r="J56" i="85"/>
  <c r="B12" i="78"/>
  <c r="B12" i="83"/>
  <c r="B14" i="81"/>
  <c r="G10" i="45"/>
  <c r="G10" i="43"/>
  <c r="G10" i="65"/>
  <c r="B16" i="86"/>
  <c r="Q63" i="85"/>
  <c r="B16" i="78"/>
  <c r="B16" i="83"/>
  <c r="B54" i="81"/>
  <c r="D10" i="43"/>
  <c r="D10" i="65"/>
  <c r="D10" i="45"/>
  <c r="B13" i="86"/>
  <c r="Q56" i="85"/>
  <c r="B24" i="81"/>
  <c r="B13" i="78"/>
  <c r="B13" i="83"/>
  <c r="Q24" i="60" a="1"/>
  <c r="Q24" i="60" s="1"/>
  <c r="K14" i="82"/>
  <c r="V46" i="82"/>
  <c r="K50" i="82"/>
  <c r="V36" i="82"/>
  <c r="K46" i="82"/>
  <c r="F16" i="82"/>
  <c r="V20" i="82"/>
  <c r="F49" i="82"/>
  <c r="F50" i="82"/>
  <c r="V54" i="82"/>
  <c r="F45" i="82"/>
  <c r="Q36" i="82"/>
  <c r="K36" i="82"/>
  <c r="K38" i="82"/>
  <c r="Q16" i="82"/>
  <c r="K20" i="82"/>
  <c r="R18" i="62" a="1"/>
  <c r="R18" i="62" s="1"/>
  <c r="D16" i="45"/>
  <c r="R13" i="45" a="1"/>
  <c r="R13" i="45" s="1"/>
  <c r="R18" i="64" a="1"/>
  <c r="R18" i="64" s="1"/>
  <c r="R12" i="64" a="1"/>
  <c r="R12" i="64" s="1"/>
  <c r="Q15" i="60" a="1"/>
  <c r="Q15" i="60" s="1"/>
  <c r="R25" i="60" a="1"/>
  <c r="R25" i="60" s="1"/>
  <c r="Q16" i="62"/>
  <c r="Q25" i="63"/>
  <c r="Q19" i="45"/>
  <c r="Q19" i="64"/>
  <c r="Q13" i="64"/>
  <c r="R16" i="62" a="1"/>
  <c r="R16" i="62" s="1"/>
  <c r="Q25" i="45"/>
  <c r="R19" i="64" a="1"/>
  <c r="R19" i="64" s="1"/>
  <c r="R13" i="64" a="1"/>
  <c r="R13" i="64" s="1"/>
  <c r="Q15" i="62" a="1"/>
  <c r="Q15" i="62" s="1"/>
  <c r="Q16" i="45"/>
  <c r="R22" i="62" a="1"/>
  <c r="R22" i="62" s="1"/>
  <c r="R27" i="62" a="1"/>
  <c r="R27" i="62" s="1"/>
  <c r="R15" i="64" a="1"/>
  <c r="R15" i="64" s="1"/>
  <c r="Q15" i="64" a="1"/>
  <c r="Q15" i="64" s="1"/>
  <c r="R16" i="64" a="1"/>
  <c r="R16" i="64" s="1"/>
  <c r="Q18" i="64" a="1"/>
  <c r="Q18" i="64" s="1"/>
  <c r="Q21" i="64" a="1"/>
  <c r="Q21" i="64" s="1"/>
  <c r="R15" i="62" a="1"/>
  <c r="R15" i="62" s="1"/>
  <c r="Q22" i="45"/>
  <c r="R27" i="45" a="1"/>
  <c r="R27" i="45" s="1"/>
  <c r="Q24" i="64" a="1"/>
  <c r="Q24" i="64" s="1"/>
  <c r="R21" i="64" a="1"/>
  <c r="R21" i="64" s="1"/>
  <c r="R27" i="64" a="1"/>
  <c r="R27" i="64" s="1"/>
  <c r="Q19" i="60"/>
  <c r="Q18" i="63" a="1"/>
  <c r="Q18" i="63" s="1"/>
  <c r="R30" i="45" a="1"/>
  <c r="R30" i="45" s="1"/>
  <c r="R24" i="64" a="1"/>
  <c r="R24" i="64" s="1"/>
  <c r="Q22" i="64"/>
  <c r="Q28" i="64"/>
  <c r="Q29" i="64" s="1"/>
  <c r="R21" i="60" a="1"/>
  <c r="R21" i="60" s="1"/>
  <c r="R15" i="63" a="1"/>
  <c r="R15" i="63" s="1"/>
  <c r="Q22" i="63"/>
  <c r="Q25" i="64"/>
  <c r="R22" i="64" a="1"/>
  <c r="R22" i="64" s="1"/>
  <c r="R28" i="64" a="1"/>
  <c r="R28" i="64" s="1"/>
  <c r="R24" i="60" a="1"/>
  <c r="R24" i="60" s="1"/>
  <c r="R12" i="62" a="1"/>
  <c r="R12" i="62" s="1"/>
  <c r="R25" i="62" a="1"/>
  <c r="R25" i="62" s="1"/>
  <c r="R25" i="64" a="1"/>
  <c r="R25" i="64" s="1"/>
  <c r="Q12" i="64" a="1"/>
  <c r="Q12" i="64" s="1"/>
  <c r="Q25" i="60"/>
  <c r="Q16" i="64"/>
  <c r="Q38" i="82"/>
  <c r="Q34" i="82"/>
  <c r="Q50" i="82"/>
  <c r="K51" i="82"/>
  <c r="Q48" i="82"/>
  <c r="B7" i="63"/>
  <c r="B7" i="45"/>
  <c r="B7" i="52"/>
  <c r="B7" i="46"/>
  <c r="B7" i="64"/>
  <c r="B7" i="53"/>
  <c r="B7" i="62"/>
  <c r="B7" i="51"/>
  <c r="B7" i="54"/>
  <c r="B7" i="60"/>
  <c r="K7" i="74"/>
  <c r="K7" i="72"/>
  <c r="K7" i="65"/>
  <c r="K7" i="75"/>
  <c r="K7" i="73"/>
  <c r="K7" i="71"/>
  <c r="K16" i="74"/>
  <c r="L16" i="74" s="1"/>
  <c r="K16" i="71"/>
  <c r="L16" i="71" s="1"/>
  <c r="K16" i="72"/>
  <c r="L16" i="72" s="1"/>
  <c r="K16" i="75"/>
  <c r="L16" i="75" s="1"/>
  <c r="Q13" i="45"/>
  <c r="R18" i="45" a="1"/>
  <c r="R18" i="45" s="1"/>
  <c r="R22" i="45" a="1"/>
  <c r="R22" i="45" s="1"/>
  <c r="R25" i="45" a="1"/>
  <c r="R25" i="45" s="1"/>
  <c r="Q28" i="45"/>
  <c r="Q31" i="45"/>
  <c r="Q16" i="60"/>
  <c r="Q18" i="60" a="1"/>
  <c r="Q18" i="60" s="1"/>
  <c r="Q22" i="60"/>
  <c r="Q13" i="62"/>
  <c r="Q16" i="63"/>
  <c r="R15" i="45" a="1"/>
  <c r="R15" i="45" s="1"/>
  <c r="Q40" i="63"/>
  <c r="Q41" i="63" s="1"/>
  <c r="Q27" i="63" a="1"/>
  <c r="Q27" i="63" s="1"/>
  <c r="R34" i="62" a="1"/>
  <c r="R34" i="62" s="1"/>
  <c r="Q22" i="62"/>
  <c r="R31" i="63" a="1"/>
  <c r="R31" i="63" s="1"/>
  <c r="R19" i="63" a="1"/>
  <c r="R19" i="63" s="1"/>
  <c r="Q37" i="62"/>
  <c r="Q25" i="62"/>
  <c r="Q37" i="63"/>
  <c r="R25" i="63" a="1"/>
  <c r="R25" i="63" s="1"/>
  <c r="R31" i="62" a="1"/>
  <c r="R31" i="62" s="1"/>
  <c r="Q19" i="62"/>
  <c r="Q39" i="62" a="1"/>
  <c r="Q39" i="62" s="1"/>
  <c r="Q34" i="63"/>
  <c r="R21" i="63" a="1"/>
  <c r="R21" i="63" s="1"/>
  <c r="R28" i="62" a="1"/>
  <c r="R28" i="62" s="1"/>
  <c r="G3" i="81"/>
  <c r="K17" i="73"/>
  <c r="L17" i="73" s="1"/>
  <c r="K18" i="74"/>
  <c r="L18" i="74" s="1"/>
  <c r="K18" i="73"/>
  <c r="L18" i="73" s="1"/>
  <c r="K17" i="75"/>
  <c r="L17" i="75" s="1"/>
  <c r="K19" i="75"/>
  <c r="L19" i="75" s="1"/>
  <c r="K19" i="74"/>
  <c r="L19" i="74" s="1"/>
  <c r="K19" i="73"/>
  <c r="L19" i="73" s="1"/>
  <c r="K18" i="72"/>
  <c r="L18" i="72" s="1"/>
  <c r="K18" i="71"/>
  <c r="L18" i="71" s="1"/>
  <c r="K17" i="74"/>
  <c r="L17" i="74" s="1"/>
  <c r="K19" i="71"/>
  <c r="L19" i="71" s="1"/>
  <c r="K18" i="75"/>
  <c r="L18" i="75" s="1"/>
  <c r="K17" i="72"/>
  <c r="L17" i="72" s="1"/>
  <c r="K17" i="71"/>
  <c r="L17" i="71" s="1"/>
  <c r="K19" i="72"/>
  <c r="L19" i="72" s="1"/>
  <c r="K19" i="65"/>
  <c r="L19" i="65" s="1"/>
  <c r="Q12" i="45" a="1"/>
  <c r="Q12" i="45" s="1"/>
  <c r="R19" i="45" a="1"/>
  <c r="R19" i="45" s="1"/>
  <c r="Q21" i="45" a="1"/>
  <c r="Q21" i="45" s="1"/>
  <c r="F20" i="82"/>
  <c r="F48" i="82"/>
  <c r="V50" i="82"/>
  <c r="Q24" i="45" a="1"/>
  <c r="Q24" i="45" s="1"/>
  <c r="R28" i="45" a="1"/>
  <c r="R28" i="45" s="1"/>
  <c r="R31" i="45" a="1"/>
  <c r="R31" i="45" s="1"/>
  <c r="R16" i="60" a="1"/>
  <c r="R16" i="60" s="1"/>
  <c r="R18" i="60" a="1"/>
  <c r="R18" i="60" s="1"/>
  <c r="R22" i="60" a="1"/>
  <c r="R22" i="60" s="1"/>
  <c r="R13" i="62" a="1"/>
  <c r="R13" i="62" s="1"/>
  <c r="R16" i="63" a="1"/>
  <c r="R16" i="63" s="1"/>
  <c r="R16" i="45" a="1"/>
  <c r="R16" i="45" s="1"/>
  <c r="R40" i="63" a="1"/>
  <c r="R40" i="63" s="1"/>
  <c r="Q28" i="63"/>
  <c r="R33" i="62" a="1"/>
  <c r="R33" i="62" s="1"/>
  <c r="R21" i="62" a="1"/>
  <c r="R21" i="62" s="1"/>
  <c r="Q31" i="63"/>
  <c r="Q19" i="63"/>
  <c r="Q36" i="62" a="1"/>
  <c r="Q36" i="62" s="1"/>
  <c r="Q38" i="62" s="1"/>
  <c r="Q24" i="62" a="1"/>
  <c r="Q24" i="62" s="1"/>
  <c r="Q36" i="63" a="1"/>
  <c r="Q36" i="63" s="1"/>
  <c r="Q38" i="63" s="1"/>
  <c r="R24" i="63" a="1"/>
  <c r="R24" i="63" s="1"/>
  <c r="Q30" i="62" a="1"/>
  <c r="Q30" i="62" s="1"/>
  <c r="Q18" i="62" a="1"/>
  <c r="Q18" i="62" s="1"/>
  <c r="Q40" i="62"/>
  <c r="R34" i="63" a="1"/>
  <c r="R34" i="63" s="1"/>
  <c r="Q21" i="63" a="1"/>
  <c r="Q21" i="63" s="1"/>
  <c r="Q13" i="63"/>
  <c r="R13" i="63" a="1"/>
  <c r="R13" i="63" s="1"/>
  <c r="R13" i="60" a="1"/>
  <c r="R13" i="60" s="1"/>
  <c r="R12" i="63" a="1"/>
  <c r="R12" i="63" s="1"/>
  <c r="R12" i="60" a="1"/>
  <c r="R12" i="60" s="1"/>
  <c r="Q12" i="63" a="1"/>
  <c r="Q12" i="63" s="1"/>
  <c r="Q12" i="60" a="1"/>
  <c r="Q12" i="60" s="1"/>
  <c r="B7" i="72"/>
  <c r="B7" i="73"/>
  <c r="B7" i="75"/>
  <c r="B7" i="71"/>
  <c r="B7" i="74"/>
  <c r="B7" i="65"/>
  <c r="R12" i="45" a="1"/>
  <c r="R12" i="45" s="1"/>
  <c r="K54" i="82"/>
  <c r="Q18" i="45" a="1"/>
  <c r="Q18" i="45" s="1"/>
  <c r="R21" i="45" a="1"/>
  <c r="R21" i="45" s="1"/>
  <c r="Q32" i="82"/>
  <c r="F54" i="82"/>
  <c r="R24" i="45" a="1"/>
  <c r="R24" i="45" s="1"/>
  <c r="Q27" i="45" a="1"/>
  <c r="Q27" i="45" s="1"/>
  <c r="Q30" i="45" a="1"/>
  <c r="Q30" i="45" s="1"/>
  <c r="R15" i="60" a="1"/>
  <c r="R15" i="60" s="1"/>
  <c r="R19" i="60" a="1"/>
  <c r="R19" i="60" s="1"/>
  <c r="Q21" i="60" a="1"/>
  <c r="Q21" i="60" s="1"/>
  <c r="Q12" i="62" a="1"/>
  <c r="Q12" i="62" s="1"/>
  <c r="Q15" i="63" a="1"/>
  <c r="Q15" i="63" s="1"/>
  <c r="Q15" i="45"/>
  <c r="R39" i="63" a="1"/>
  <c r="R39" i="63" s="1"/>
  <c r="R27" i="63" a="1"/>
  <c r="R27" i="63" s="1"/>
  <c r="Q33" i="62" a="1"/>
  <c r="Q33" i="62" s="1"/>
  <c r="Q35" i="62" s="1"/>
  <c r="Q21" i="62" a="1"/>
  <c r="Q21" i="62" s="1"/>
  <c r="Q13" i="60"/>
  <c r="R30" i="63" a="1"/>
  <c r="R30" i="63" s="1"/>
  <c r="R32" i="63" s="1"/>
  <c r="R18" i="63" a="1"/>
  <c r="R18" i="63" s="1"/>
  <c r="R37" i="62" a="1"/>
  <c r="R37" i="62" s="1"/>
  <c r="R38" i="62" s="1"/>
  <c r="R24" i="62" a="1"/>
  <c r="R24" i="62" s="1"/>
  <c r="R37" i="63" a="1"/>
  <c r="R37" i="63" s="1"/>
  <c r="Q24" i="63" a="1"/>
  <c r="Q24" i="63" s="1"/>
  <c r="Q31" i="62"/>
  <c r="R19" i="62" a="1"/>
  <c r="R19" i="62" s="1"/>
  <c r="R40" i="62" a="1"/>
  <c r="R40" i="62" s="1"/>
  <c r="R41" i="62" s="1"/>
  <c r="Q33" i="63" a="1"/>
  <c r="Q33" i="63" s="1"/>
  <c r="Q35" i="63" s="1"/>
  <c r="R22" i="63" a="1"/>
  <c r="R22" i="63" s="1"/>
  <c r="Q27" i="62" a="1"/>
  <c r="Q27" i="62" s="1"/>
  <c r="Q29" i="62" s="1"/>
  <c r="F46" i="82"/>
  <c r="V17" i="82"/>
  <c r="V45" i="82"/>
  <c r="V30" i="82"/>
  <c r="F18" i="82"/>
  <c r="K30" i="82"/>
  <c r="F30" i="82"/>
  <c r="K31" i="82"/>
  <c r="F31" i="82"/>
  <c r="V15" i="82"/>
  <c r="Q14" i="82"/>
  <c r="K19" i="82"/>
  <c r="O47" i="76"/>
  <c r="O46" i="76"/>
  <c r="O49" i="76"/>
  <c r="V47" i="82"/>
  <c r="O50" i="76"/>
  <c r="F15" i="82"/>
  <c r="K15" i="82"/>
  <c r="K18" i="82"/>
  <c r="K45" i="82"/>
  <c r="K48" i="82"/>
  <c r="V48" i="82"/>
  <c r="K47" i="82"/>
  <c r="F51" i="82"/>
  <c r="V38" i="82"/>
  <c r="F38" i="82"/>
  <c r="K34" i="82"/>
  <c r="V34" i="82"/>
  <c r="Q19" i="82"/>
  <c r="V16" i="82"/>
  <c r="V14" i="82"/>
  <c r="V13" i="82"/>
  <c r="C22" i="76"/>
  <c r="I77" i="81"/>
  <c r="I78" i="81"/>
  <c r="V51" i="82"/>
  <c r="K37" i="82"/>
  <c r="V37" i="82"/>
  <c r="Q17" i="82"/>
  <c r="F19" i="82"/>
  <c r="I83" i="81"/>
  <c r="I82" i="81"/>
  <c r="I79" i="81"/>
  <c r="Q49" i="82"/>
  <c r="Q47" i="82"/>
  <c r="Q52" i="82"/>
  <c r="Q53" i="82"/>
  <c r="Q46" i="82"/>
  <c r="O116" i="85"/>
  <c r="V49" i="82"/>
  <c r="K49" i="82"/>
  <c r="F47" i="82"/>
  <c r="O114" i="85"/>
  <c r="Q33" i="82"/>
  <c r="Q31" i="82"/>
  <c r="Q37" i="82"/>
  <c r="Q29" i="82"/>
  <c r="O112" i="85"/>
  <c r="F35" i="82"/>
  <c r="V35" i="82"/>
  <c r="K35" i="82"/>
  <c r="V31" i="82"/>
  <c r="F29" i="82"/>
  <c r="V29" i="82"/>
  <c r="K29" i="82"/>
  <c r="O110" i="85"/>
  <c r="Q13" i="82"/>
  <c r="Q15" i="82"/>
  <c r="V18" i="82"/>
  <c r="Q21" i="82"/>
  <c r="V21" i="82"/>
  <c r="O108" i="85"/>
  <c r="F22" i="82"/>
  <c r="F13" i="82"/>
  <c r="K13" i="82"/>
  <c r="O106" i="85"/>
  <c r="F80" i="83"/>
  <c r="F80" i="78"/>
  <c r="F16" i="77"/>
  <c r="D28" i="64"/>
  <c r="D11" i="77"/>
  <c r="B11" i="77"/>
  <c r="D16" i="77"/>
  <c r="D84" i="83"/>
  <c r="D84" i="86"/>
  <c r="B5" i="86"/>
  <c r="D5" i="86" s="1"/>
  <c r="C84" i="83"/>
  <c r="C84" i="86"/>
  <c r="K13" i="74"/>
  <c r="L13" i="74" s="1"/>
  <c r="E22" i="77"/>
  <c r="B22" i="77"/>
  <c r="D37" i="64"/>
  <c r="D37" i="62"/>
  <c r="D36" i="64"/>
  <c r="D34" i="60"/>
  <c r="D22" i="64"/>
  <c r="D31" i="63"/>
  <c r="D13" i="64"/>
  <c r="D16" i="63"/>
  <c r="D16" i="64"/>
  <c r="D34" i="64"/>
  <c r="D34" i="62"/>
  <c r="P11" i="60"/>
  <c r="O44" i="82"/>
  <c r="P11" i="45"/>
  <c r="P11" i="63"/>
  <c r="P11" i="62"/>
  <c r="P11" i="64"/>
  <c r="K13" i="73"/>
  <c r="L13" i="73" s="1"/>
  <c r="D28" i="45"/>
  <c r="D19" i="63"/>
  <c r="D13" i="45"/>
  <c r="H19" i="86" s="1"/>
  <c r="D40" i="60"/>
  <c r="B11" i="75"/>
  <c r="K17" i="65"/>
  <c r="L17" i="65" s="1"/>
  <c r="K14" i="72"/>
  <c r="L14" i="72" s="1"/>
  <c r="H11" i="62"/>
  <c r="H11" i="64"/>
  <c r="F11" i="46"/>
  <c r="F11" i="52"/>
  <c r="H11" i="63"/>
  <c r="D12" i="60"/>
  <c r="B11" i="74"/>
  <c r="D12" i="64"/>
  <c r="D30" i="62"/>
  <c r="D15" i="64"/>
  <c r="D39" i="45"/>
  <c r="D24" i="63"/>
  <c r="D39" i="62"/>
  <c r="D21" i="60"/>
  <c r="B11" i="71"/>
  <c r="D30" i="45"/>
  <c r="D12" i="45"/>
  <c r="D12" i="76" s="1"/>
  <c r="B11" i="73"/>
  <c r="D21" i="64"/>
  <c r="B11" i="65"/>
  <c r="D15" i="60"/>
  <c r="D27" i="63"/>
  <c r="D28" i="63"/>
  <c r="D22" i="60"/>
  <c r="H11" i="45"/>
  <c r="F11" i="53"/>
  <c r="D33" i="64"/>
  <c r="D18" i="62"/>
  <c r="D30" i="63"/>
  <c r="D18" i="63"/>
  <c r="F11" i="54"/>
  <c r="F11" i="51"/>
  <c r="D36" i="62"/>
  <c r="D24" i="60"/>
  <c r="D25" i="63"/>
  <c r="D37" i="63"/>
  <c r="D12" i="62"/>
  <c r="D28" i="62"/>
  <c r="D39" i="60"/>
  <c r="D19" i="62"/>
  <c r="D13" i="60"/>
  <c r="D31" i="45"/>
  <c r="D13" i="62"/>
  <c r="D16" i="60"/>
  <c r="D31" i="62"/>
  <c r="D36" i="63"/>
  <c r="U44" i="82"/>
  <c r="J44" i="82"/>
  <c r="J28" i="82"/>
  <c r="J12" i="82"/>
  <c r="U28" i="82"/>
  <c r="U12" i="82"/>
  <c r="D18" i="60"/>
  <c r="C74" i="85"/>
  <c r="J74" i="85"/>
  <c r="Q88" i="85"/>
  <c r="J88" i="85"/>
  <c r="C88" i="85"/>
  <c r="Q74" i="85"/>
  <c r="D19" i="60"/>
  <c r="D16" i="62"/>
  <c r="D37" i="60"/>
  <c r="K13" i="72"/>
  <c r="L13" i="72" s="1"/>
  <c r="D44" i="82"/>
  <c r="D103" i="81"/>
  <c r="K14" i="65"/>
  <c r="L14" i="65" s="1"/>
  <c r="K14" i="75"/>
  <c r="L14" i="75" s="1"/>
  <c r="K16" i="65"/>
  <c r="L16" i="65" s="1"/>
  <c r="D12" i="82"/>
  <c r="K16" i="73"/>
  <c r="L16" i="73" s="1"/>
  <c r="K13" i="71"/>
  <c r="L13" i="71" s="1"/>
  <c r="O28" i="82"/>
  <c r="L13" i="65"/>
  <c r="K14" i="74"/>
  <c r="L14" i="74" s="1"/>
  <c r="D28" i="82"/>
  <c r="K14" i="71"/>
  <c r="L14" i="71" s="1"/>
  <c r="O12" i="82"/>
  <c r="F43" i="76"/>
  <c r="F12" i="76"/>
  <c r="N43" i="76"/>
  <c r="F27" i="76"/>
  <c r="N12" i="76"/>
  <c r="N27" i="76"/>
  <c r="N11" i="63"/>
  <c r="N11" i="64"/>
  <c r="N11" i="60"/>
  <c r="N11" i="45"/>
  <c r="N11" i="62"/>
  <c r="E19" i="78"/>
  <c r="E19" i="83"/>
  <c r="D11" i="54"/>
  <c r="D11" i="53"/>
  <c r="D11" i="52"/>
  <c r="D11" i="43"/>
  <c r="D11" i="46"/>
  <c r="D11" i="51"/>
  <c r="H11" i="75"/>
  <c r="H11" i="73"/>
  <c r="H11" i="74"/>
  <c r="H11" i="71"/>
  <c r="H11" i="72"/>
  <c r="H11" i="65"/>
  <c r="G11" i="75"/>
  <c r="G11" i="74"/>
  <c r="G11" i="72"/>
  <c r="G11" i="65"/>
  <c r="G11" i="73"/>
  <c r="G11" i="71"/>
  <c r="D11" i="74"/>
  <c r="D11" i="75"/>
  <c r="D11" i="72"/>
  <c r="D11" i="65"/>
  <c r="D11" i="73"/>
  <c r="D11" i="71"/>
  <c r="F11" i="63"/>
  <c r="F11" i="64"/>
  <c r="F11" i="60"/>
  <c r="F11" i="45"/>
  <c r="F11" i="62"/>
  <c r="J11" i="75"/>
  <c r="J11" i="74"/>
  <c r="J11" i="71"/>
  <c r="J11" i="73"/>
  <c r="J11" i="72"/>
  <c r="J11" i="65"/>
  <c r="H11" i="54"/>
  <c r="H11" i="43"/>
  <c r="H11" i="52"/>
  <c r="H11" i="46"/>
  <c r="H11" i="53"/>
  <c r="H11" i="51"/>
  <c r="Q28" i="82"/>
  <c r="Q44" i="82"/>
  <c r="F12" i="82"/>
  <c r="F44" i="82"/>
  <c r="Q12" i="82"/>
  <c r="F28" i="82"/>
  <c r="O11" i="64"/>
  <c r="O11" i="62"/>
  <c r="O11" i="63"/>
  <c r="O11" i="45"/>
  <c r="O11" i="60"/>
  <c r="B11" i="84"/>
  <c r="F14" i="82"/>
  <c r="E64" i="81"/>
  <c r="A14" i="26"/>
  <c r="L2" i="26"/>
  <c r="Q11" i="64"/>
  <c r="Q11" i="63"/>
  <c r="Q11" i="60"/>
  <c r="Q11" i="45"/>
  <c r="Q11" i="62"/>
  <c r="K11" i="64"/>
  <c r="K11" i="60"/>
  <c r="K11" i="45"/>
  <c r="K11" i="63"/>
  <c r="K11" i="62"/>
  <c r="D19" i="78"/>
  <c r="D19" i="83"/>
  <c r="G11" i="52"/>
  <c r="G11" i="53"/>
  <c r="G11" i="54"/>
  <c r="G11" i="43"/>
  <c r="G11" i="46"/>
  <c r="G11" i="51"/>
  <c r="G11" i="64"/>
  <c r="G11" i="63"/>
  <c r="G11" i="62"/>
  <c r="G11" i="60"/>
  <c r="G11" i="45"/>
  <c r="I81" i="81"/>
  <c r="I80" i="81"/>
  <c r="H43" i="76"/>
  <c r="H12" i="76"/>
  <c r="P43" i="76"/>
  <c r="H27" i="76"/>
  <c r="P12" i="76"/>
  <c r="P27" i="76"/>
  <c r="J11" i="63"/>
  <c r="J11" i="60"/>
  <c r="J11" i="62"/>
  <c r="J11" i="64"/>
  <c r="J11" i="45"/>
  <c r="G43" i="76"/>
  <c r="G12" i="76"/>
  <c r="O43" i="76"/>
  <c r="G27" i="76"/>
  <c r="O12" i="76"/>
  <c r="K11" i="74"/>
  <c r="O27" i="76"/>
  <c r="K11" i="75"/>
  <c r="K11" i="71"/>
  <c r="K11" i="73"/>
  <c r="K11" i="72"/>
  <c r="K11" i="65"/>
  <c r="B8" i="74"/>
  <c r="B8" i="75"/>
  <c r="B8" i="73"/>
  <c r="B8" i="71"/>
  <c r="B8" i="64"/>
  <c r="B8" i="72"/>
  <c r="B8" i="65"/>
  <c r="B8" i="43"/>
  <c r="B8" i="63"/>
  <c r="B8" i="60"/>
  <c r="B8" i="45"/>
  <c r="B8" i="46"/>
  <c r="B8" i="62"/>
  <c r="B8" i="54"/>
  <c r="B8" i="52"/>
  <c r="B8" i="53"/>
  <c r="B8" i="51"/>
  <c r="D25" i="64"/>
  <c r="D40" i="63"/>
  <c r="D40" i="64"/>
  <c r="D31" i="64"/>
  <c r="D19" i="64"/>
  <c r="D34" i="63"/>
  <c r="D25" i="45"/>
  <c r="D25" i="60"/>
  <c r="D40" i="45"/>
  <c r="D25" i="62"/>
  <c r="D31" i="60"/>
  <c r="D40" i="62"/>
  <c r="D22" i="63"/>
  <c r="D13" i="63"/>
  <c r="D22" i="62"/>
  <c r="D28" i="60"/>
  <c r="D19" i="45"/>
  <c r="D22" i="45"/>
  <c r="L11" i="64"/>
  <c r="L11" i="60"/>
  <c r="L11" i="63"/>
  <c r="L11" i="62"/>
  <c r="L11" i="45"/>
  <c r="F11" i="74"/>
  <c r="F11" i="75"/>
  <c r="F11" i="72"/>
  <c r="F11" i="65"/>
  <c r="F11" i="73"/>
  <c r="F11" i="71"/>
  <c r="C10" i="40"/>
  <c r="I11" i="64"/>
  <c r="I11" i="60"/>
  <c r="I11" i="45"/>
  <c r="I11" i="63"/>
  <c r="I11" i="62"/>
  <c r="A15" i="26"/>
  <c r="R11" i="61" s="1"/>
  <c r="L3" i="26"/>
  <c r="M55" i="82"/>
  <c r="V55" i="82" s="1"/>
  <c r="B55" i="82"/>
  <c r="K55" i="82" s="1"/>
  <c r="M39" i="82"/>
  <c r="V39" i="82" s="1"/>
  <c r="M23" i="82"/>
  <c r="V23" i="82" s="1"/>
  <c r="B23" i="82"/>
  <c r="K23" i="82" s="1"/>
  <c r="B39" i="82"/>
  <c r="K39" i="82" s="1"/>
  <c r="D30" i="64"/>
  <c r="D11" i="64"/>
  <c r="D27" i="64"/>
  <c r="D18" i="64"/>
  <c r="D33" i="63"/>
  <c r="D24" i="64"/>
  <c r="D39" i="63"/>
  <c r="D39" i="64"/>
  <c r="D33" i="62"/>
  <c r="D11" i="63"/>
  <c r="D24" i="62"/>
  <c r="D30" i="60"/>
  <c r="D11" i="60"/>
  <c r="D21" i="45"/>
  <c r="D15" i="45"/>
  <c r="D21" i="63"/>
  <c r="D11" i="62"/>
  <c r="D36" i="60"/>
  <c r="D15" i="63"/>
  <c r="D12" i="63"/>
  <c r="D21" i="62"/>
  <c r="D15" i="62"/>
  <c r="D27" i="60"/>
  <c r="D18" i="45"/>
  <c r="D27" i="62"/>
  <c r="D33" i="60"/>
  <c r="D27" i="45"/>
  <c r="D24" i="45"/>
  <c r="D11" i="45"/>
  <c r="M11" i="64"/>
  <c r="M11" i="60"/>
  <c r="M11" i="45"/>
  <c r="M11" i="63"/>
  <c r="M11" i="62"/>
  <c r="C103" i="81"/>
  <c r="F3" i="81"/>
  <c r="C44" i="82"/>
  <c r="N44" i="82"/>
  <c r="C28" i="82"/>
  <c r="K15" i="74"/>
  <c r="L15" i="74" s="1"/>
  <c r="N28" i="82"/>
  <c r="C12" i="82"/>
  <c r="N12" i="82"/>
  <c r="K15" i="75"/>
  <c r="L15" i="75" s="1"/>
  <c r="K15" i="71"/>
  <c r="L15" i="71" s="1"/>
  <c r="K18" i="65"/>
  <c r="L18" i="65" s="1"/>
  <c r="K15" i="73"/>
  <c r="L15" i="73" s="1"/>
  <c r="K15" i="72"/>
  <c r="L15" i="72" s="1"/>
  <c r="K15" i="65"/>
  <c r="L15" i="65" s="1"/>
  <c r="K14" i="73"/>
  <c r="L14" i="73" s="1"/>
  <c r="D34" i="45"/>
  <c r="E103" i="81"/>
  <c r="H3" i="81"/>
  <c r="P44" i="82"/>
  <c r="E28" i="82"/>
  <c r="P28" i="82"/>
  <c r="E12" i="82"/>
  <c r="E44" i="82"/>
  <c r="K12" i="75"/>
  <c r="L12" i="75" s="1"/>
  <c r="P12" i="82"/>
  <c r="K13" i="75"/>
  <c r="L13" i="75" s="1"/>
  <c r="K12" i="74"/>
  <c r="L12" i="74" s="1"/>
  <c r="K12" i="72"/>
  <c r="L12" i="72" s="1"/>
  <c r="K12" i="71"/>
  <c r="L12" i="71" s="1"/>
  <c r="K12" i="73"/>
  <c r="L12" i="73" s="1"/>
  <c r="B5" i="83"/>
  <c r="D5" i="83" s="1"/>
  <c r="E11" i="64"/>
  <c r="E11" i="63"/>
  <c r="E11" i="60"/>
  <c r="E11" i="45"/>
  <c r="E11" i="62"/>
  <c r="C28" i="27"/>
  <c r="C22" i="27"/>
  <c r="I76" i="81"/>
  <c r="B11" i="64"/>
  <c r="B11" i="51"/>
  <c r="B11" i="54"/>
  <c r="B11" i="63"/>
  <c r="B11" i="60"/>
  <c r="B11" i="45"/>
  <c r="B11" i="52"/>
  <c r="B11" i="62"/>
  <c r="B11" i="53"/>
  <c r="B11" i="43"/>
  <c r="B11" i="46"/>
  <c r="C19" i="86" s="1"/>
  <c r="B9" i="77"/>
  <c r="N7" i="76"/>
  <c r="I11" i="75"/>
  <c r="I11" i="74"/>
  <c r="I11" i="71"/>
  <c r="I11" i="73"/>
  <c r="I11" i="72"/>
  <c r="I11" i="65"/>
  <c r="I3" i="81"/>
  <c r="H44" i="82"/>
  <c r="S28" i="82"/>
  <c r="S12" i="82"/>
  <c r="S44" i="82"/>
  <c r="H12" i="82"/>
  <c r="L11" i="74"/>
  <c r="H28" i="82"/>
  <c r="L11" i="75"/>
  <c r="L11" i="73"/>
  <c r="L11" i="72"/>
  <c r="L11" i="65"/>
  <c r="L11" i="71"/>
  <c r="D33" i="45"/>
  <c r="Q41" i="45" l="1"/>
  <c r="Q35" i="60"/>
  <c r="R26" i="61"/>
  <c r="Q38" i="60"/>
  <c r="R14" i="61"/>
  <c r="R38" i="61"/>
  <c r="R17" i="62"/>
  <c r="Q20" i="64"/>
  <c r="R32" i="61"/>
  <c r="R41" i="61"/>
  <c r="Q38" i="61"/>
  <c r="R35" i="61"/>
  <c r="Q32" i="61"/>
  <c r="R29" i="61"/>
  <c r="Q26" i="61"/>
  <c r="R23" i="61"/>
  <c r="Q20" i="61"/>
  <c r="R17" i="61"/>
  <c r="Q14" i="61"/>
  <c r="R20" i="61"/>
  <c r="Q41" i="61"/>
  <c r="Q35" i="61"/>
  <c r="Q29" i="61"/>
  <c r="Q23" i="61"/>
  <c r="Q17" i="61"/>
  <c r="R35" i="62"/>
  <c r="R29" i="60"/>
  <c r="Q41" i="64"/>
  <c r="R35" i="64"/>
  <c r="R38" i="60"/>
  <c r="R38" i="63"/>
  <c r="R29" i="63"/>
  <c r="R32" i="62"/>
  <c r="Q41" i="60"/>
  <c r="Q29" i="60"/>
  <c r="R41" i="60"/>
  <c r="Q38" i="45"/>
  <c r="R35" i="45"/>
  <c r="Q29" i="63"/>
  <c r="R29" i="62"/>
  <c r="R32" i="60"/>
  <c r="R38" i="45"/>
  <c r="Q35" i="45"/>
  <c r="R32" i="64"/>
  <c r="R41" i="64"/>
  <c r="Q38" i="64"/>
  <c r="Q32" i="63"/>
  <c r="R35" i="63"/>
  <c r="Q41" i="62"/>
  <c r="R38" i="64"/>
  <c r="Q32" i="60"/>
  <c r="Q32" i="64"/>
  <c r="Q35" i="64"/>
  <c r="R35" i="60"/>
  <c r="R41" i="63"/>
  <c r="B68" i="81"/>
  <c r="B25" i="81"/>
  <c r="B26" i="81" s="1"/>
  <c r="B27" i="81" s="1"/>
  <c r="B28" i="81" s="1"/>
  <c r="B29" i="81" s="1"/>
  <c r="B30" i="81" s="1"/>
  <c r="B31" i="81" s="1"/>
  <c r="B32" i="81" s="1"/>
  <c r="B33" i="81" s="1"/>
  <c r="B40" i="86"/>
  <c r="B40" i="83"/>
  <c r="B40" i="78"/>
  <c r="B67" i="81"/>
  <c r="B15" i="81"/>
  <c r="B16" i="81" s="1"/>
  <c r="B17" i="81" s="1"/>
  <c r="B18" i="81" s="1"/>
  <c r="B19" i="81" s="1"/>
  <c r="B20" i="81" s="1"/>
  <c r="B21" i="81" s="1"/>
  <c r="B22" i="81" s="1"/>
  <c r="B23" i="81" s="1"/>
  <c r="B60" i="86"/>
  <c r="B60" i="78"/>
  <c r="B60" i="83"/>
  <c r="B5" i="81"/>
  <c r="B6" i="81" s="1"/>
  <c r="B7" i="81" s="1"/>
  <c r="B8" i="81" s="1"/>
  <c r="B9" i="81" s="1"/>
  <c r="B10" i="81" s="1"/>
  <c r="B11" i="81" s="1"/>
  <c r="B12" i="81" s="1"/>
  <c r="B13" i="81" s="1"/>
  <c r="B66" i="81"/>
  <c r="B20" i="86"/>
  <c r="B20" i="83"/>
  <c r="B20" i="78"/>
  <c r="B19" i="86"/>
  <c r="B19" i="78"/>
  <c r="B55" i="81"/>
  <c r="B56" i="81" s="1"/>
  <c r="B57" i="81" s="1"/>
  <c r="B58" i="81" s="1"/>
  <c r="B59" i="81" s="1"/>
  <c r="B60" i="81" s="1"/>
  <c r="B61" i="81" s="1"/>
  <c r="B62" i="81" s="1"/>
  <c r="B63" i="81" s="1"/>
  <c r="B71" i="81"/>
  <c r="B70" i="86"/>
  <c r="B70" i="78"/>
  <c r="B70" i="83"/>
  <c r="B30" i="86"/>
  <c r="B30" i="78"/>
  <c r="B30" i="83"/>
  <c r="B45" i="81"/>
  <c r="B46" i="81" s="1"/>
  <c r="B47" i="81" s="1"/>
  <c r="B48" i="81" s="1"/>
  <c r="B49" i="81" s="1"/>
  <c r="B50" i="81" s="1"/>
  <c r="B51" i="81" s="1"/>
  <c r="B52" i="81" s="1"/>
  <c r="B53" i="81" s="1"/>
  <c r="B70" i="81"/>
  <c r="B69" i="81"/>
  <c r="B35" i="81"/>
  <c r="B36" i="81" s="1"/>
  <c r="B37" i="81" s="1"/>
  <c r="B38" i="81" s="1"/>
  <c r="B39" i="81" s="1"/>
  <c r="B40" i="81" s="1"/>
  <c r="B41" i="81" s="1"/>
  <c r="B42" i="81" s="1"/>
  <c r="B43" i="81" s="1"/>
  <c r="B50" i="86"/>
  <c r="B50" i="83"/>
  <c r="B50" i="78"/>
  <c r="Q26" i="45"/>
  <c r="R20" i="62"/>
  <c r="Q26" i="60"/>
  <c r="R14" i="45"/>
  <c r="R23" i="64"/>
  <c r="R26" i="64"/>
  <c r="R29" i="64"/>
  <c r="Q23" i="64"/>
  <c r="R20" i="64"/>
  <c r="Q20" i="60"/>
  <c r="Q14" i="60"/>
  <c r="Q14" i="64"/>
  <c r="R26" i="60"/>
  <c r="Q23" i="63"/>
  <c r="Q17" i="60"/>
  <c r="Q20" i="45"/>
  <c r="R17" i="60"/>
  <c r="Q32" i="45"/>
  <c r="Q29" i="45"/>
  <c r="R23" i="45"/>
  <c r="R14" i="60"/>
  <c r="R23" i="62"/>
  <c r="R20" i="45"/>
  <c r="R17" i="64"/>
  <c r="R20" i="63"/>
  <c r="R14" i="64"/>
  <c r="Q14" i="62"/>
  <c r="R26" i="45"/>
  <c r="Q23" i="60"/>
  <c r="R20" i="60"/>
  <c r="Q17" i="45"/>
  <c r="Q17" i="62"/>
  <c r="R23" i="60"/>
  <c r="R17" i="45"/>
  <c r="Q14" i="45"/>
  <c r="U13" i="45" s="1"/>
  <c r="R32" i="45"/>
  <c r="R29" i="45"/>
  <c r="Q17" i="64"/>
  <c r="R17" i="63"/>
  <c r="Q23" i="45"/>
  <c r="R23" i="63"/>
  <c r="Q20" i="63"/>
  <c r="R14" i="62"/>
  <c r="Q26" i="63"/>
  <c r="R26" i="62"/>
  <c r="Q26" i="64"/>
  <c r="Q17" i="63"/>
  <c r="F55" i="82"/>
  <c r="R26" i="63"/>
  <c r="R14" i="63"/>
  <c r="Q14" i="63"/>
  <c r="Q26" i="62"/>
  <c r="Q20" i="62"/>
  <c r="Q23" i="62"/>
  <c r="Q32" i="62"/>
  <c r="J62" i="81"/>
  <c r="U53" i="82" s="1"/>
  <c r="J56" i="81"/>
  <c r="U47" i="82" s="1"/>
  <c r="J60" i="81"/>
  <c r="U51" i="82" s="1"/>
  <c r="J57" i="81"/>
  <c r="U48" i="82" s="1"/>
  <c r="J59" i="81"/>
  <c r="U50" i="82" s="1"/>
  <c r="J63" i="81"/>
  <c r="U54" i="82" s="1"/>
  <c r="J58" i="81"/>
  <c r="U49" i="82" s="1"/>
  <c r="J61" i="81"/>
  <c r="U52" i="82" s="1"/>
  <c r="J54" i="81"/>
  <c r="U45" i="82" s="1"/>
  <c r="J55" i="81"/>
  <c r="U46" i="82" s="1"/>
  <c r="J49" i="81"/>
  <c r="J50" i="82" s="1"/>
  <c r="J52" i="81"/>
  <c r="J53" i="82" s="1"/>
  <c r="J50" i="81"/>
  <c r="J51" i="82" s="1"/>
  <c r="J45" i="81"/>
  <c r="J46" i="82" s="1"/>
  <c r="J53" i="81"/>
  <c r="J54" i="82" s="1"/>
  <c r="J48" i="81"/>
  <c r="J49" i="82" s="1"/>
  <c r="J51" i="81"/>
  <c r="J52" i="82" s="1"/>
  <c r="J44" i="81"/>
  <c r="J45" i="82" s="1"/>
  <c r="J47" i="81"/>
  <c r="J48" i="82" s="1"/>
  <c r="J46" i="81"/>
  <c r="J47" i="82" s="1"/>
  <c r="J42" i="81"/>
  <c r="U37" i="82" s="1"/>
  <c r="J35" i="81"/>
  <c r="U30" i="82" s="1"/>
  <c r="J39" i="81"/>
  <c r="U34" i="82" s="1"/>
  <c r="J43" i="81"/>
  <c r="U38" i="82" s="1"/>
  <c r="J40" i="81"/>
  <c r="U35" i="82" s="1"/>
  <c r="J34" i="81"/>
  <c r="U29" i="82" s="1"/>
  <c r="J37" i="81"/>
  <c r="U32" i="82" s="1"/>
  <c r="J38" i="81"/>
  <c r="U33" i="82" s="1"/>
  <c r="J41" i="81"/>
  <c r="U36" i="82" s="1"/>
  <c r="J36" i="81"/>
  <c r="U31" i="82" s="1"/>
  <c r="J31" i="81"/>
  <c r="J36" i="82" s="1"/>
  <c r="J30" i="81"/>
  <c r="J35" i="82" s="1"/>
  <c r="J33" i="81"/>
  <c r="J38" i="82" s="1"/>
  <c r="J26" i="81"/>
  <c r="J31" i="82" s="1"/>
  <c r="J27" i="81"/>
  <c r="J32" i="82" s="1"/>
  <c r="J25" i="81"/>
  <c r="J30" i="82" s="1"/>
  <c r="J29" i="81"/>
  <c r="J34" i="82" s="1"/>
  <c r="J24" i="81"/>
  <c r="J29" i="82" s="1"/>
  <c r="J28" i="81"/>
  <c r="J33" i="82" s="1"/>
  <c r="J32" i="81"/>
  <c r="J37" i="82" s="1"/>
  <c r="J19" i="81"/>
  <c r="U18" i="82" s="1"/>
  <c r="J20" i="81"/>
  <c r="U19" i="82" s="1"/>
  <c r="J23" i="81"/>
  <c r="U22" i="82" s="1"/>
  <c r="J22" i="81"/>
  <c r="U21" i="82" s="1"/>
  <c r="J21" i="81"/>
  <c r="U20" i="82" s="1"/>
  <c r="J14" i="81"/>
  <c r="U13" i="82" s="1"/>
  <c r="J17" i="81"/>
  <c r="U16" i="82" s="1"/>
  <c r="J15" i="81"/>
  <c r="J18" i="81"/>
  <c r="J16" i="81"/>
  <c r="U15" i="82" s="1"/>
  <c r="Q23" i="82"/>
  <c r="J4" i="81"/>
  <c r="J9" i="81"/>
  <c r="J11" i="81"/>
  <c r="J20" i="82" s="1"/>
  <c r="J6" i="81"/>
  <c r="J12" i="81"/>
  <c r="J21" i="82" s="1"/>
  <c r="J8" i="81"/>
  <c r="J17" i="82" s="1"/>
  <c r="J5" i="81"/>
  <c r="J7" i="81"/>
  <c r="J16" i="82" s="1"/>
  <c r="J13" i="81"/>
  <c r="J22" i="82" s="1"/>
  <c r="J10" i="81"/>
  <c r="J19" i="82" s="1"/>
  <c r="F23" i="82"/>
  <c r="Q39" i="82"/>
  <c r="F39" i="82"/>
  <c r="Q55" i="82"/>
  <c r="H19" i="78"/>
  <c r="L43" i="76"/>
  <c r="G19" i="86"/>
  <c r="M12" i="76"/>
  <c r="D43" i="76"/>
  <c r="M27" i="76"/>
  <c r="E27" i="76"/>
  <c r="M43" i="76"/>
  <c r="E12" i="76"/>
  <c r="E43" i="76"/>
  <c r="H19" i="83"/>
  <c r="L27" i="76"/>
  <c r="G19" i="83"/>
  <c r="G19" i="78"/>
  <c r="D27" i="76"/>
  <c r="L12" i="76"/>
  <c r="H5" i="81"/>
  <c r="E14" i="82" s="1"/>
  <c r="H20" i="81"/>
  <c r="P19" i="82" s="1"/>
  <c r="F61" i="81"/>
  <c r="N52" i="82" s="1"/>
  <c r="F34" i="81"/>
  <c r="N29" i="82" s="1"/>
  <c r="F46" i="81"/>
  <c r="C47" i="82" s="1"/>
  <c r="H34" i="81"/>
  <c r="P29" i="82" s="1"/>
  <c r="F22" i="81"/>
  <c r="N21" i="82" s="1"/>
  <c r="H12" i="81"/>
  <c r="E21" i="82" s="1"/>
  <c r="F25" i="81"/>
  <c r="C30" i="82" s="1"/>
  <c r="F44" i="81"/>
  <c r="C45" i="82" s="1"/>
  <c r="H62" i="81"/>
  <c r="P53" i="82" s="1"/>
  <c r="F11" i="81"/>
  <c r="C20" i="82" s="1"/>
  <c r="F27" i="81"/>
  <c r="C32" i="82" s="1"/>
  <c r="H41" i="81"/>
  <c r="P36" i="82" s="1"/>
  <c r="H56" i="81"/>
  <c r="P47" i="82" s="1"/>
  <c r="F31" i="81"/>
  <c r="C36" i="82" s="1"/>
  <c r="H45" i="81"/>
  <c r="E46" i="82" s="1"/>
  <c r="H60" i="81"/>
  <c r="P51" i="82" s="1"/>
  <c r="F59" i="81"/>
  <c r="N50" i="82" s="1"/>
  <c r="H35" i="81"/>
  <c r="P30" i="82" s="1"/>
  <c r="F63" i="81"/>
  <c r="N54" i="82" s="1"/>
  <c r="H25" i="81"/>
  <c r="E30" i="82" s="1"/>
  <c r="H39" i="81"/>
  <c r="P34" i="82" s="1"/>
  <c r="F58" i="81"/>
  <c r="N49" i="82" s="1"/>
  <c r="H4" i="81"/>
  <c r="E13" i="82" s="1"/>
  <c r="H30" i="81"/>
  <c r="E35" i="82" s="1"/>
  <c r="F5" i="81"/>
  <c r="C14" i="82" s="1"/>
  <c r="F8" i="81"/>
  <c r="C17" i="82" s="1"/>
  <c r="F19" i="81"/>
  <c r="N18" i="82" s="1"/>
  <c r="F40" i="81"/>
  <c r="N35" i="82" s="1"/>
  <c r="F38" i="81"/>
  <c r="N33" i="82" s="1"/>
  <c r="G29" i="81"/>
  <c r="D34" i="82" s="1"/>
  <c r="G32" i="81"/>
  <c r="D37" i="82" s="1"/>
  <c r="G33" i="81"/>
  <c r="D38" i="82" s="1"/>
  <c r="G28" i="81"/>
  <c r="D33" i="82" s="1"/>
  <c r="G30" i="81"/>
  <c r="D35" i="82" s="1"/>
  <c r="G25" i="81"/>
  <c r="D30" i="82" s="1"/>
  <c r="G31" i="81"/>
  <c r="D36" i="82" s="1"/>
  <c r="G24" i="81"/>
  <c r="G26" i="81"/>
  <c r="D31" i="82" s="1"/>
  <c r="G27" i="81"/>
  <c r="D32" i="82" s="1"/>
  <c r="H6" i="81"/>
  <c r="E15" i="82" s="1"/>
  <c r="H14" i="81"/>
  <c r="H22" i="81"/>
  <c r="P21" i="82" s="1"/>
  <c r="H49" i="81"/>
  <c r="E50" i="82" s="1"/>
  <c r="H43" i="81"/>
  <c r="P38" i="82" s="1"/>
  <c r="H38" i="81"/>
  <c r="P33" i="82" s="1"/>
  <c r="H63" i="81"/>
  <c r="P54" i="82" s="1"/>
  <c r="F13" i="81"/>
  <c r="C22" i="82" s="1"/>
  <c r="F16" i="81"/>
  <c r="N15" i="82" s="1"/>
  <c r="F28" i="81"/>
  <c r="C33" i="82" s="1"/>
  <c r="F48" i="81"/>
  <c r="C49" i="82" s="1"/>
  <c r="F35" i="81"/>
  <c r="N30" i="82" s="1"/>
  <c r="F37" i="81"/>
  <c r="N32" i="82" s="1"/>
  <c r="F42" i="81"/>
  <c r="N37" i="82" s="1"/>
  <c r="M44" i="82"/>
  <c r="B44" i="82"/>
  <c r="B28" i="82"/>
  <c r="J27" i="76"/>
  <c r="M28" i="82"/>
  <c r="B12" i="82"/>
  <c r="B43" i="76"/>
  <c r="B12" i="76"/>
  <c r="M12" i="82"/>
  <c r="J43" i="76"/>
  <c r="B27" i="76"/>
  <c r="J12" i="76"/>
  <c r="G48" i="81"/>
  <c r="D49" i="82" s="1"/>
  <c r="G50" i="81"/>
  <c r="D51" i="82" s="1"/>
  <c r="G49" i="81"/>
  <c r="D50" i="82" s="1"/>
  <c r="G44" i="81"/>
  <c r="G46" i="81"/>
  <c r="D47" i="82" s="1"/>
  <c r="G51" i="81"/>
  <c r="D52" i="82" s="1"/>
  <c r="G45" i="81"/>
  <c r="D46" i="82" s="1"/>
  <c r="G47" i="81"/>
  <c r="D48" i="82" s="1"/>
  <c r="G52" i="81"/>
  <c r="D53" i="82" s="1"/>
  <c r="G53" i="81"/>
  <c r="D54" i="82" s="1"/>
  <c r="H7" i="81"/>
  <c r="E16" i="82" s="1"/>
  <c r="H15" i="81"/>
  <c r="P14" i="82" s="1"/>
  <c r="H23" i="81"/>
  <c r="P22" i="82" s="1"/>
  <c r="H53" i="81"/>
  <c r="E54" i="82" s="1"/>
  <c r="H47" i="81"/>
  <c r="E48" i="82" s="1"/>
  <c r="H42" i="81"/>
  <c r="P37" i="82" s="1"/>
  <c r="H36" i="81"/>
  <c r="P31" i="82" s="1"/>
  <c r="F10" i="81"/>
  <c r="C19" i="82" s="1"/>
  <c r="F17" i="81"/>
  <c r="N16" i="82" s="1"/>
  <c r="F20" i="81"/>
  <c r="N19" i="82" s="1"/>
  <c r="F52" i="81"/>
  <c r="C53" i="82" s="1"/>
  <c r="F50" i="81"/>
  <c r="C51" i="82" s="1"/>
  <c r="F39" i="81"/>
  <c r="N34" i="82" s="1"/>
  <c r="F41" i="81"/>
  <c r="N36" i="82" s="1"/>
  <c r="G16" i="81"/>
  <c r="O15" i="82" s="1"/>
  <c r="G18" i="81"/>
  <c r="O17" i="82" s="1"/>
  <c r="G19" i="81"/>
  <c r="O18" i="82" s="1"/>
  <c r="G14" i="81"/>
  <c r="G15" i="81"/>
  <c r="O14" i="82" s="1"/>
  <c r="G21" i="81"/>
  <c r="O20" i="82" s="1"/>
  <c r="G23" i="81"/>
  <c r="O22" i="82" s="1"/>
  <c r="G17" i="81"/>
  <c r="O16" i="82" s="1"/>
  <c r="G20" i="81"/>
  <c r="O19" i="82" s="1"/>
  <c r="G22" i="81"/>
  <c r="O21" i="82" s="1"/>
  <c r="H21" i="81"/>
  <c r="P20" i="82" s="1"/>
  <c r="O8" i="84"/>
  <c r="O7" i="84"/>
  <c r="O6" i="84" s="1"/>
  <c r="H29" i="81"/>
  <c r="E34" i="82" s="1"/>
  <c r="H8" i="81"/>
  <c r="E17" i="82" s="1"/>
  <c r="H16" i="81"/>
  <c r="P15" i="82" s="1"/>
  <c r="H24" i="81"/>
  <c r="H57" i="81"/>
  <c r="P48" i="82" s="1"/>
  <c r="H51" i="81"/>
  <c r="E52" i="82" s="1"/>
  <c r="H46" i="81"/>
  <c r="E47" i="82" s="1"/>
  <c r="H40" i="81"/>
  <c r="P35" i="82" s="1"/>
  <c r="F14" i="81"/>
  <c r="F24" i="81"/>
  <c r="F33" i="81"/>
  <c r="C38" i="82" s="1"/>
  <c r="F32" i="81"/>
  <c r="C37" i="82" s="1"/>
  <c r="F56" i="81"/>
  <c r="N47" i="82" s="1"/>
  <c r="F54" i="81"/>
  <c r="F43" i="81"/>
  <c r="N38" i="82" s="1"/>
  <c r="F45" i="81"/>
  <c r="C46" i="82" s="1"/>
  <c r="R11" i="63"/>
  <c r="I62" i="78" s="1"/>
  <c r="R11" i="64"/>
  <c r="G70" i="78" s="1"/>
  <c r="L44" i="76" s="1"/>
  <c r="R11" i="60"/>
  <c r="H45" i="83"/>
  <c r="R11" i="62"/>
  <c r="R11" i="45"/>
  <c r="H27" i="78" s="1"/>
  <c r="E20" i="76" s="1"/>
  <c r="C19" i="78"/>
  <c r="C19" i="83"/>
  <c r="H33" i="81"/>
  <c r="E38" i="82" s="1"/>
  <c r="H9" i="81"/>
  <c r="E18" i="82" s="1"/>
  <c r="H17" i="81"/>
  <c r="P16" i="82" s="1"/>
  <c r="H31" i="81"/>
  <c r="E36" i="82" s="1"/>
  <c r="H61" i="81"/>
  <c r="P52" i="82" s="1"/>
  <c r="H55" i="81"/>
  <c r="P46" i="82" s="1"/>
  <c r="H50" i="81"/>
  <c r="E51" i="82" s="1"/>
  <c r="H44" i="81"/>
  <c r="F18" i="81"/>
  <c r="N17" i="82" s="1"/>
  <c r="F7" i="81"/>
  <c r="C16" i="82" s="1"/>
  <c r="F29" i="81"/>
  <c r="C34" i="82" s="1"/>
  <c r="F60" i="81"/>
  <c r="N51" i="82" s="1"/>
  <c r="F47" i="81"/>
  <c r="C48" i="82" s="1"/>
  <c r="F49" i="81"/>
  <c r="C50" i="82" s="1"/>
  <c r="F9" i="81"/>
  <c r="C18" i="82" s="1"/>
  <c r="F12" i="81"/>
  <c r="C21" i="82" s="1"/>
  <c r="G55" i="81"/>
  <c r="O46" i="82" s="1"/>
  <c r="G60" i="81"/>
  <c r="O51" i="82" s="1"/>
  <c r="G62" i="81"/>
  <c r="O53" i="82" s="1"/>
  <c r="G61" i="81"/>
  <c r="O52" i="82" s="1"/>
  <c r="G56" i="81"/>
  <c r="O47" i="82" s="1"/>
  <c r="G58" i="81"/>
  <c r="O49" i="82" s="1"/>
  <c r="G63" i="81"/>
  <c r="O54" i="82" s="1"/>
  <c r="G57" i="81"/>
  <c r="O48" i="82" s="1"/>
  <c r="G54" i="81"/>
  <c r="G59" i="81"/>
  <c r="O50" i="82" s="1"/>
  <c r="H10" i="81"/>
  <c r="E19" i="82" s="1"/>
  <c r="H18" i="81"/>
  <c r="P17" i="82" s="1"/>
  <c r="H32" i="81"/>
  <c r="E37" i="82" s="1"/>
  <c r="H27" i="81"/>
  <c r="E32" i="82" s="1"/>
  <c r="H59" i="81"/>
  <c r="P50" i="82" s="1"/>
  <c r="H54" i="81"/>
  <c r="H48" i="81"/>
  <c r="E49" i="82" s="1"/>
  <c r="F6" i="81"/>
  <c r="C15" i="82" s="1"/>
  <c r="F26" i="81"/>
  <c r="C31" i="82" s="1"/>
  <c r="F30" i="81"/>
  <c r="C35" i="82" s="1"/>
  <c r="F21" i="81"/>
  <c r="N20" i="82" s="1"/>
  <c r="F62" i="81"/>
  <c r="N53" i="82" s="1"/>
  <c r="F51" i="81"/>
  <c r="C52" i="82" s="1"/>
  <c r="F53" i="81"/>
  <c r="C54" i="82" s="1"/>
  <c r="B19" i="83"/>
  <c r="G9" i="81"/>
  <c r="D18" i="82" s="1"/>
  <c r="G12" i="81"/>
  <c r="D21" i="82" s="1"/>
  <c r="G5" i="81"/>
  <c r="D14" i="82" s="1"/>
  <c r="G8" i="81"/>
  <c r="D17" i="82" s="1"/>
  <c r="G10" i="81"/>
  <c r="D19" i="82" s="1"/>
  <c r="G11" i="81"/>
  <c r="D20" i="82" s="1"/>
  <c r="G4" i="81"/>
  <c r="D13" i="82" s="1"/>
  <c r="G6" i="81"/>
  <c r="D15" i="82" s="1"/>
  <c r="G7" i="81"/>
  <c r="D16" i="82" s="1"/>
  <c r="G13" i="81"/>
  <c r="D22" i="82" s="1"/>
  <c r="H13" i="81"/>
  <c r="E22" i="82" s="1"/>
  <c r="G40" i="81"/>
  <c r="O35" i="82" s="1"/>
  <c r="G42" i="81"/>
  <c r="O37" i="82" s="1"/>
  <c r="G41" i="81"/>
  <c r="O36" i="82" s="1"/>
  <c r="G36" i="81"/>
  <c r="O31" i="82" s="1"/>
  <c r="G38" i="81"/>
  <c r="O33" i="82" s="1"/>
  <c r="G37" i="81"/>
  <c r="O32" i="82" s="1"/>
  <c r="G34" i="81"/>
  <c r="G39" i="81"/>
  <c r="O34" i="82" s="1"/>
  <c r="G35" i="81"/>
  <c r="O30" i="82" s="1"/>
  <c r="G43" i="81"/>
  <c r="O38" i="82" s="1"/>
  <c r="H11" i="81"/>
  <c r="E20" i="82" s="1"/>
  <c r="H19" i="81"/>
  <c r="P18" i="82" s="1"/>
  <c r="H37" i="81"/>
  <c r="P32" i="82" s="1"/>
  <c r="H28" i="81"/>
  <c r="E33" i="82" s="1"/>
  <c r="H26" i="81"/>
  <c r="E31" i="82" s="1"/>
  <c r="H58" i="81"/>
  <c r="P49" i="82" s="1"/>
  <c r="H52" i="81"/>
  <c r="E53" i="82" s="1"/>
  <c r="F4" i="81"/>
  <c r="F15" i="81"/>
  <c r="N14" i="82" s="1"/>
  <c r="F36" i="81"/>
  <c r="N31" i="82" s="1"/>
  <c r="F23" i="81"/>
  <c r="N22" i="82" s="1"/>
  <c r="F55" i="81"/>
  <c r="N46" i="82" s="1"/>
  <c r="F57" i="81"/>
  <c r="N48" i="82" s="1"/>
  <c r="I52" i="78" l="1"/>
  <c r="N30" i="76" s="1"/>
  <c r="I35" i="83"/>
  <c r="J35" i="83" s="1"/>
  <c r="G20" i="78"/>
  <c r="D13" i="76" s="1"/>
  <c r="G21" i="78"/>
  <c r="D14" i="76" s="1"/>
  <c r="B51" i="78"/>
  <c r="D50" i="78"/>
  <c r="K28" i="76" s="1"/>
  <c r="B51" i="86"/>
  <c r="D50" i="86"/>
  <c r="B38" i="78"/>
  <c r="D38" i="78" s="1"/>
  <c r="K21" i="76" s="1"/>
  <c r="B32" i="78"/>
  <c r="D32" i="78" s="1"/>
  <c r="K15" i="76" s="1"/>
  <c r="B31" i="78"/>
  <c r="D31" i="78" s="1"/>
  <c r="K14" i="76" s="1"/>
  <c r="B37" i="78"/>
  <c r="D37" i="78" s="1"/>
  <c r="K20" i="76" s="1"/>
  <c r="B35" i="78"/>
  <c r="D35" i="78" s="1"/>
  <c r="K18" i="76" s="1"/>
  <c r="B33" i="78"/>
  <c r="D33" i="78" s="1"/>
  <c r="K16" i="76" s="1"/>
  <c r="D30" i="78"/>
  <c r="K13" i="76" s="1"/>
  <c r="B39" i="78"/>
  <c r="D39" i="78" s="1"/>
  <c r="K22" i="76" s="1"/>
  <c r="B36" i="78"/>
  <c r="D36" i="78" s="1"/>
  <c r="K19" i="76" s="1"/>
  <c r="B34" i="78"/>
  <c r="D34" i="78" s="1"/>
  <c r="K17" i="76" s="1"/>
  <c r="B71" i="83"/>
  <c r="D70" i="83"/>
  <c r="B71" i="86"/>
  <c r="D70" i="86"/>
  <c r="B22" i="83"/>
  <c r="D22" i="83" s="1"/>
  <c r="B25" i="83"/>
  <c r="D25" i="83" s="1"/>
  <c r="D20" i="83"/>
  <c r="B27" i="83"/>
  <c r="D27" i="83" s="1"/>
  <c r="B24" i="83"/>
  <c r="D24" i="83" s="1"/>
  <c r="B26" i="83"/>
  <c r="D26" i="83" s="1"/>
  <c r="B29" i="83"/>
  <c r="B21" i="83"/>
  <c r="D21" i="83" s="1"/>
  <c r="B28" i="83"/>
  <c r="D28" i="83" s="1"/>
  <c r="B23" i="83"/>
  <c r="D23" i="83" s="1"/>
  <c r="B61" i="83"/>
  <c r="D60" i="83"/>
  <c r="D60" i="86"/>
  <c r="B61" i="86"/>
  <c r="D40" i="83"/>
  <c r="B41" i="83"/>
  <c r="D50" i="83"/>
  <c r="B51" i="83"/>
  <c r="B34" i="83"/>
  <c r="D34" i="83" s="1"/>
  <c r="B33" i="83"/>
  <c r="D33" i="83" s="1"/>
  <c r="B32" i="83"/>
  <c r="D32" i="83" s="1"/>
  <c r="B35" i="83"/>
  <c r="D35" i="83" s="1"/>
  <c r="K35" i="83" s="1"/>
  <c r="D30" i="83"/>
  <c r="B38" i="83"/>
  <c r="D38" i="83" s="1"/>
  <c r="B37" i="83"/>
  <c r="D37" i="83" s="1"/>
  <c r="B36" i="83"/>
  <c r="D36" i="83" s="1"/>
  <c r="B39" i="83"/>
  <c r="D39" i="83" s="1"/>
  <c r="B31" i="83"/>
  <c r="D31" i="83" s="1"/>
  <c r="B38" i="86"/>
  <c r="D38" i="86" s="1"/>
  <c r="B39" i="86"/>
  <c r="D39" i="86" s="1"/>
  <c r="D30" i="86"/>
  <c r="B36" i="86"/>
  <c r="D36" i="86" s="1"/>
  <c r="B31" i="86"/>
  <c r="D31" i="86" s="1"/>
  <c r="B33" i="86"/>
  <c r="D33" i="86" s="1"/>
  <c r="B35" i="86"/>
  <c r="D35" i="86" s="1"/>
  <c r="B37" i="86"/>
  <c r="D37" i="86" s="1"/>
  <c r="B32" i="86"/>
  <c r="D32" i="86" s="1"/>
  <c r="B34" i="86"/>
  <c r="D34" i="86" s="1"/>
  <c r="D70" i="78"/>
  <c r="K44" i="76" s="1"/>
  <c r="B71" i="78"/>
  <c r="B25" i="78"/>
  <c r="D25" i="78" s="1"/>
  <c r="C18" i="76" s="1"/>
  <c r="B22" i="78"/>
  <c r="D22" i="78" s="1"/>
  <c r="C15" i="76" s="1"/>
  <c r="B28" i="78"/>
  <c r="D28" i="78" s="1"/>
  <c r="C21" i="76" s="1"/>
  <c r="B26" i="78"/>
  <c r="D26" i="78" s="1"/>
  <c r="C19" i="76" s="1"/>
  <c r="B23" i="78"/>
  <c r="D23" i="78" s="1"/>
  <c r="C16" i="76" s="1"/>
  <c r="B29" i="78"/>
  <c r="B21" i="78"/>
  <c r="D21" i="78" s="1"/>
  <c r="C14" i="76" s="1"/>
  <c r="D20" i="78"/>
  <c r="C13" i="76" s="1"/>
  <c r="B27" i="78"/>
  <c r="D27" i="78" s="1"/>
  <c r="C20" i="76" s="1"/>
  <c r="B24" i="78"/>
  <c r="D24" i="78" s="1"/>
  <c r="C17" i="76" s="1"/>
  <c r="D20" i="86"/>
  <c r="B28" i="86"/>
  <c r="D28" i="86" s="1"/>
  <c r="B25" i="86"/>
  <c r="D25" i="86" s="1"/>
  <c r="B29" i="86"/>
  <c r="D29" i="86" s="1"/>
  <c r="B23" i="86"/>
  <c r="D23" i="86" s="1"/>
  <c r="B24" i="86"/>
  <c r="D24" i="86" s="1"/>
  <c r="B27" i="86"/>
  <c r="D27" i="86" s="1"/>
  <c r="B22" i="86"/>
  <c r="D22" i="86" s="1"/>
  <c r="B26" i="86"/>
  <c r="D26" i="86" s="1"/>
  <c r="B21" i="86"/>
  <c r="D21" i="86" s="1"/>
  <c r="B61" i="78"/>
  <c r="D60" i="78"/>
  <c r="C44" i="76" s="1"/>
  <c r="D40" i="78"/>
  <c r="C28" i="76" s="1"/>
  <c r="B41" i="78"/>
  <c r="D40" i="86"/>
  <c r="B41" i="86"/>
  <c r="U17" i="82"/>
  <c r="C88" i="81"/>
  <c r="I24" i="78"/>
  <c r="F17" i="76" s="1"/>
  <c r="U14" i="82"/>
  <c r="C90" i="81"/>
  <c r="J18" i="82"/>
  <c r="C91" i="81"/>
  <c r="J15" i="82"/>
  <c r="C89" i="81"/>
  <c r="J14" i="82"/>
  <c r="C87" i="81"/>
  <c r="J13" i="82"/>
  <c r="C86" i="81"/>
  <c r="C71" i="81"/>
  <c r="U55" i="82" s="1"/>
  <c r="C96" i="81"/>
  <c r="S116" i="85"/>
  <c r="S114" i="85"/>
  <c r="C97" i="81"/>
  <c r="C70" i="81"/>
  <c r="J55" i="82" s="1"/>
  <c r="S112" i="85"/>
  <c r="C98" i="81"/>
  <c r="C69" i="81"/>
  <c r="S110" i="85"/>
  <c r="C68" i="81"/>
  <c r="C99" i="81"/>
  <c r="C67" i="81"/>
  <c r="S108" i="85"/>
  <c r="C100" i="81"/>
  <c r="C66" i="81"/>
  <c r="C101" i="81"/>
  <c r="C93" i="81"/>
  <c r="E11" i="84"/>
  <c r="C92" i="81"/>
  <c r="S106" i="85"/>
  <c r="C72" i="81"/>
  <c r="I40" i="78"/>
  <c r="G77" i="86"/>
  <c r="I71" i="86"/>
  <c r="I76" i="86"/>
  <c r="J76" i="86" s="1"/>
  <c r="I78" i="86"/>
  <c r="J78" i="86" s="1"/>
  <c r="G62" i="86"/>
  <c r="G61" i="86"/>
  <c r="H64" i="86"/>
  <c r="I34" i="86"/>
  <c r="J34" i="86" s="1"/>
  <c r="I31" i="86"/>
  <c r="J31" i="86" s="1"/>
  <c r="H38" i="86"/>
  <c r="H41" i="86"/>
  <c r="H48" i="86"/>
  <c r="I47" i="86"/>
  <c r="J47" i="86" s="1"/>
  <c r="G43" i="86"/>
  <c r="G23" i="86"/>
  <c r="G22" i="86"/>
  <c r="H29" i="86"/>
  <c r="I29" i="86"/>
  <c r="J29" i="86" s="1"/>
  <c r="G58" i="86"/>
  <c r="H55" i="86"/>
  <c r="I55" i="86"/>
  <c r="J55" i="86" s="1"/>
  <c r="I77" i="86"/>
  <c r="J77" i="86" s="1"/>
  <c r="H75" i="86"/>
  <c r="G70" i="86"/>
  <c r="G68" i="86"/>
  <c r="G64" i="86"/>
  <c r="I65" i="86"/>
  <c r="J65" i="86" s="1"/>
  <c r="I32" i="86"/>
  <c r="I38" i="86"/>
  <c r="J38" i="86" s="1"/>
  <c r="H34" i="86"/>
  <c r="I33" i="86"/>
  <c r="I43" i="86"/>
  <c r="G44" i="86"/>
  <c r="H42" i="86"/>
  <c r="G42" i="86"/>
  <c r="I25" i="86"/>
  <c r="G28" i="86"/>
  <c r="G25" i="86"/>
  <c r="G27" i="86"/>
  <c r="H57" i="86"/>
  <c r="I59" i="86"/>
  <c r="J59" i="86" s="1"/>
  <c r="H59" i="86"/>
  <c r="H79" i="86"/>
  <c r="H73" i="86"/>
  <c r="I73" i="86"/>
  <c r="G63" i="86"/>
  <c r="G67" i="86"/>
  <c r="I69" i="86"/>
  <c r="J69" i="86" s="1"/>
  <c r="H68" i="86"/>
  <c r="H32" i="86"/>
  <c r="G30" i="86"/>
  <c r="G36" i="86"/>
  <c r="I30" i="86"/>
  <c r="I48" i="86"/>
  <c r="J48" i="86" s="1"/>
  <c r="H45" i="86"/>
  <c r="H47" i="86"/>
  <c r="G41" i="86"/>
  <c r="H22" i="86"/>
  <c r="G29" i="86"/>
  <c r="I28" i="86"/>
  <c r="J28" i="86" s="1"/>
  <c r="I22" i="86"/>
  <c r="H50" i="86"/>
  <c r="G50" i="86"/>
  <c r="G52" i="86"/>
  <c r="I51" i="86"/>
  <c r="H74" i="86"/>
  <c r="H77" i="86"/>
  <c r="G78" i="86"/>
  <c r="H70" i="86"/>
  <c r="H63" i="86"/>
  <c r="G65" i="86"/>
  <c r="I64" i="86"/>
  <c r="I68" i="86"/>
  <c r="J68" i="86" s="1"/>
  <c r="G32" i="86"/>
  <c r="H36" i="86"/>
  <c r="H37" i="86"/>
  <c r="H35" i="86"/>
  <c r="G49" i="86"/>
  <c r="H49" i="86"/>
  <c r="G48" i="86"/>
  <c r="I44" i="86"/>
  <c r="G26" i="86"/>
  <c r="H26" i="86"/>
  <c r="G20" i="86"/>
  <c r="G21" i="86"/>
  <c r="G54" i="86"/>
  <c r="H58" i="86"/>
  <c r="H51" i="86"/>
  <c r="I50" i="86"/>
  <c r="I74" i="86"/>
  <c r="G73" i="86"/>
  <c r="H76" i="86"/>
  <c r="H71" i="86"/>
  <c r="I66" i="86"/>
  <c r="J66" i="86" s="1"/>
  <c r="H62" i="86"/>
  <c r="H61" i="86"/>
  <c r="G60" i="86"/>
  <c r="G31" i="86"/>
  <c r="I35" i="86"/>
  <c r="J35" i="86" s="1"/>
  <c r="G38" i="86"/>
  <c r="H39" i="86"/>
  <c r="I41" i="86"/>
  <c r="G46" i="86"/>
  <c r="I46" i="86"/>
  <c r="J46" i="86" s="1"/>
  <c r="I42" i="86"/>
  <c r="I27" i="86"/>
  <c r="J27" i="86" s="1"/>
  <c r="I23" i="86"/>
  <c r="J23" i="86" s="1"/>
  <c r="H23" i="86"/>
  <c r="I26" i="86"/>
  <c r="G57" i="86"/>
  <c r="H56" i="86"/>
  <c r="H53" i="86"/>
  <c r="I58" i="86"/>
  <c r="J58" i="86" s="1"/>
  <c r="I72" i="86"/>
  <c r="I70" i="86"/>
  <c r="G76" i="86"/>
  <c r="G74" i="86"/>
  <c r="I67" i="86"/>
  <c r="J67" i="86" s="1"/>
  <c r="H60" i="86"/>
  <c r="G69" i="86"/>
  <c r="I61" i="86"/>
  <c r="I36" i="86"/>
  <c r="J36" i="86" s="1"/>
  <c r="I39" i="86"/>
  <c r="J39" i="86" s="1"/>
  <c r="H33" i="86"/>
  <c r="G37" i="86"/>
  <c r="G47" i="86"/>
  <c r="H44" i="86"/>
  <c r="H40" i="86"/>
  <c r="I40" i="86"/>
  <c r="H20" i="86"/>
  <c r="H21" i="86"/>
  <c r="I21" i="86"/>
  <c r="I24" i="86"/>
  <c r="H54" i="86"/>
  <c r="I56" i="86"/>
  <c r="J56" i="86" s="1"/>
  <c r="I53" i="86"/>
  <c r="G55" i="86"/>
  <c r="G71" i="86"/>
  <c r="I79" i="86"/>
  <c r="J79" i="86" s="1"/>
  <c r="G72" i="86"/>
  <c r="G75" i="86"/>
  <c r="I63" i="86"/>
  <c r="I60" i="86"/>
  <c r="H65" i="86"/>
  <c r="H69" i="86"/>
  <c r="G33" i="86"/>
  <c r="H30" i="86"/>
  <c r="G35" i="86"/>
  <c r="G39" i="86"/>
  <c r="H46" i="86"/>
  <c r="I45" i="86"/>
  <c r="J45" i="86" s="1"/>
  <c r="G40" i="86"/>
  <c r="H24" i="86"/>
  <c r="H27" i="86"/>
  <c r="I20" i="86"/>
  <c r="H52" i="86"/>
  <c r="I57" i="86"/>
  <c r="J57" i="86" s="1"/>
  <c r="I54" i="86"/>
  <c r="G51" i="86"/>
  <c r="H78" i="86"/>
  <c r="I75" i="86"/>
  <c r="H72" i="86"/>
  <c r="G79" i="86"/>
  <c r="H67" i="86"/>
  <c r="G66" i="86"/>
  <c r="H66" i="86"/>
  <c r="I62" i="86"/>
  <c r="H31" i="86"/>
  <c r="G34" i="86"/>
  <c r="I37" i="86"/>
  <c r="J37" i="86" s="1"/>
  <c r="G45" i="86"/>
  <c r="I49" i="86"/>
  <c r="J49" i="86" s="1"/>
  <c r="H43" i="86"/>
  <c r="H28" i="86"/>
  <c r="G24" i="86"/>
  <c r="H25" i="86"/>
  <c r="I52" i="86"/>
  <c r="G53" i="86"/>
  <c r="G56" i="86"/>
  <c r="G59" i="86"/>
  <c r="I39" i="83"/>
  <c r="G34" i="78"/>
  <c r="L17" i="76" s="1"/>
  <c r="G48" i="83"/>
  <c r="G43" i="83"/>
  <c r="H40" i="83"/>
  <c r="G42" i="78"/>
  <c r="D30" i="76" s="1"/>
  <c r="H49" i="78"/>
  <c r="E37" i="76" s="1"/>
  <c r="I41" i="78"/>
  <c r="I49" i="78"/>
  <c r="H44" i="83"/>
  <c r="G40" i="83"/>
  <c r="H41" i="83"/>
  <c r="I44" i="83"/>
  <c r="I49" i="83"/>
  <c r="J49" i="83" s="1"/>
  <c r="H49" i="83"/>
  <c r="I47" i="78"/>
  <c r="H42" i="78"/>
  <c r="E30" i="76" s="1"/>
  <c r="G41" i="78"/>
  <c r="D29" i="76" s="1"/>
  <c r="G44" i="78"/>
  <c r="D32" i="76" s="1"/>
  <c r="H43" i="83"/>
  <c r="H47" i="83"/>
  <c r="H47" i="78"/>
  <c r="E35" i="76" s="1"/>
  <c r="G47" i="83"/>
  <c r="I41" i="83"/>
  <c r="G45" i="83"/>
  <c r="G48" i="78"/>
  <c r="D36" i="76" s="1"/>
  <c r="G40" i="78"/>
  <c r="D28" i="76" s="1"/>
  <c r="I44" i="78"/>
  <c r="G41" i="83"/>
  <c r="G42" i="83"/>
  <c r="H43" i="78"/>
  <c r="E31" i="76" s="1"/>
  <c r="H46" i="78"/>
  <c r="E34" i="76" s="1"/>
  <c r="H42" i="83"/>
  <c r="G46" i="78"/>
  <c r="D34" i="76" s="1"/>
  <c r="G43" i="78"/>
  <c r="D31" i="76" s="1"/>
  <c r="H45" i="78"/>
  <c r="E33" i="76" s="1"/>
  <c r="G49" i="83"/>
  <c r="I46" i="78"/>
  <c r="G49" i="78"/>
  <c r="D37" i="76" s="1"/>
  <c r="I46" i="83"/>
  <c r="J46" i="83" s="1"/>
  <c r="H48" i="78"/>
  <c r="E36" i="76" s="1"/>
  <c r="H48" i="83"/>
  <c r="G44" i="83"/>
  <c r="I40" i="83"/>
  <c r="G47" i="78"/>
  <c r="D35" i="76" s="1"/>
  <c r="H44" i="78"/>
  <c r="E32" i="76" s="1"/>
  <c r="G46" i="83"/>
  <c r="H40" i="78"/>
  <c r="E28" i="76" s="1"/>
  <c r="I47" i="83"/>
  <c r="J47" i="83" s="1"/>
  <c r="G45" i="78"/>
  <c r="D33" i="76" s="1"/>
  <c r="H41" i="78"/>
  <c r="E29" i="76" s="1"/>
  <c r="H46" i="83"/>
  <c r="I45" i="83"/>
  <c r="J45" i="83" s="1"/>
  <c r="I42" i="83"/>
  <c r="I54" i="78"/>
  <c r="I48" i="78"/>
  <c r="I48" i="83"/>
  <c r="J48" i="83" s="1"/>
  <c r="G33" i="78"/>
  <c r="L16" i="76" s="1"/>
  <c r="I31" i="78"/>
  <c r="H39" i="78"/>
  <c r="M22" i="76" s="1"/>
  <c r="H30" i="78"/>
  <c r="M13" i="76" s="1"/>
  <c r="G34" i="83"/>
  <c r="G33" i="83"/>
  <c r="H34" i="83"/>
  <c r="G38" i="78"/>
  <c r="L21" i="76" s="1"/>
  <c r="H38" i="78"/>
  <c r="M21" i="76" s="1"/>
  <c r="G36" i="83"/>
  <c r="H37" i="78"/>
  <c r="M20" i="76" s="1"/>
  <c r="I30" i="83"/>
  <c r="G30" i="83"/>
  <c r="G37" i="78"/>
  <c r="L20" i="76" s="1"/>
  <c r="H38" i="83"/>
  <c r="I34" i="78"/>
  <c r="G35" i="78"/>
  <c r="L18" i="76" s="1"/>
  <c r="I43" i="83"/>
  <c r="I45" i="78"/>
  <c r="J45" i="78" s="1"/>
  <c r="I38" i="83"/>
  <c r="I43" i="78"/>
  <c r="G55" i="78"/>
  <c r="L33" i="76" s="1"/>
  <c r="H58" i="83"/>
  <c r="H50" i="83"/>
  <c r="G58" i="78"/>
  <c r="L36" i="76" s="1"/>
  <c r="H58" i="78"/>
  <c r="M36" i="76" s="1"/>
  <c r="I56" i="83"/>
  <c r="J56" i="83" s="1"/>
  <c r="G50" i="83"/>
  <c r="G54" i="83"/>
  <c r="H35" i="78"/>
  <c r="M18" i="76" s="1"/>
  <c r="H31" i="83"/>
  <c r="H34" i="78"/>
  <c r="M17" i="76" s="1"/>
  <c r="G58" i="83"/>
  <c r="G31" i="78"/>
  <c r="L14" i="76" s="1"/>
  <c r="G32" i="83"/>
  <c r="I37" i="78"/>
  <c r="G37" i="83"/>
  <c r="G59" i="78"/>
  <c r="L37" i="76" s="1"/>
  <c r="G59" i="83"/>
  <c r="H32" i="83"/>
  <c r="H30" i="83"/>
  <c r="G38" i="83"/>
  <c r="G39" i="78"/>
  <c r="L22" i="76" s="1"/>
  <c r="I38" i="78"/>
  <c r="H54" i="83"/>
  <c r="G51" i="83"/>
  <c r="G32" i="78"/>
  <c r="L15" i="76" s="1"/>
  <c r="I35" i="78"/>
  <c r="J35" i="78" s="1"/>
  <c r="H35" i="83"/>
  <c r="H36" i="78"/>
  <c r="M19" i="76" s="1"/>
  <c r="I52" i="83"/>
  <c r="I59" i="83"/>
  <c r="J59" i="83" s="1"/>
  <c r="I55" i="83"/>
  <c r="J55" i="83" s="1"/>
  <c r="G55" i="83"/>
  <c r="H74" i="83"/>
  <c r="H57" i="83"/>
  <c r="H55" i="83"/>
  <c r="I50" i="83"/>
  <c r="I54" i="83"/>
  <c r="H59" i="78"/>
  <c r="M37" i="76" s="1"/>
  <c r="I68" i="83"/>
  <c r="J68" i="83" s="1"/>
  <c r="I69" i="83"/>
  <c r="J69" i="83" s="1"/>
  <c r="H51" i="83"/>
  <c r="G53" i="78"/>
  <c r="L31" i="76" s="1"/>
  <c r="H59" i="83"/>
  <c r="I53" i="83"/>
  <c r="I71" i="83"/>
  <c r="G75" i="83"/>
  <c r="G56" i="83"/>
  <c r="I51" i="83"/>
  <c r="H56" i="83"/>
  <c r="I58" i="83"/>
  <c r="J58" i="83" s="1"/>
  <c r="G78" i="83"/>
  <c r="H73" i="83"/>
  <c r="G71" i="83"/>
  <c r="G69" i="83"/>
  <c r="I57" i="78"/>
  <c r="J57" i="78" s="1"/>
  <c r="I57" i="83"/>
  <c r="J57" i="83" s="1"/>
  <c r="G57" i="83"/>
  <c r="H53" i="83"/>
  <c r="G53" i="83"/>
  <c r="H52" i="83"/>
  <c r="G52" i="83"/>
  <c r="H78" i="83"/>
  <c r="G63" i="83"/>
  <c r="I61" i="83"/>
  <c r="G24" i="83"/>
  <c r="I25" i="83"/>
  <c r="G23" i="83"/>
  <c r="H24" i="83"/>
  <c r="G79" i="83"/>
  <c r="I72" i="83"/>
  <c r="I70" i="83"/>
  <c r="G74" i="83"/>
  <c r="H61" i="83"/>
  <c r="G62" i="83"/>
  <c r="I66" i="83"/>
  <c r="J66" i="83" s="1"/>
  <c r="I65" i="83"/>
  <c r="J65" i="83" s="1"/>
  <c r="G25" i="83"/>
  <c r="I29" i="83"/>
  <c r="H25" i="83"/>
  <c r="H28" i="83"/>
  <c r="G76" i="83"/>
  <c r="G73" i="83"/>
  <c r="G77" i="83"/>
  <c r="I74" i="83"/>
  <c r="G66" i="83"/>
  <c r="G64" i="83"/>
  <c r="H65" i="83"/>
  <c r="H68" i="83"/>
  <c r="G36" i="78"/>
  <c r="L19" i="76" s="1"/>
  <c r="I30" i="78"/>
  <c r="H32" i="78"/>
  <c r="M15" i="76" s="1"/>
  <c r="H33" i="78"/>
  <c r="M16" i="76" s="1"/>
  <c r="I33" i="78"/>
  <c r="I36" i="83"/>
  <c r="I37" i="83"/>
  <c r="I36" i="78"/>
  <c r="H29" i="83"/>
  <c r="I28" i="78"/>
  <c r="J28" i="78" s="1"/>
  <c r="I22" i="83"/>
  <c r="G26" i="83"/>
  <c r="G72" i="83"/>
  <c r="H75" i="83"/>
  <c r="H71" i="83"/>
  <c r="H66" i="83"/>
  <c r="G61" i="83"/>
  <c r="I63" i="83"/>
  <c r="G60" i="78"/>
  <c r="D44" i="76" s="1"/>
  <c r="G22" i="83"/>
  <c r="G20" i="83"/>
  <c r="H31" i="78"/>
  <c r="M14" i="76" s="1"/>
  <c r="G30" i="78"/>
  <c r="L13" i="76" s="1"/>
  <c r="I31" i="83"/>
  <c r="I32" i="78"/>
  <c r="J32" i="78" s="1"/>
  <c r="H33" i="83"/>
  <c r="H37" i="83"/>
  <c r="G39" i="83"/>
  <c r="I39" i="78"/>
  <c r="J39" i="78" s="1"/>
  <c r="I32" i="83"/>
  <c r="G29" i="83"/>
  <c r="H27" i="83"/>
  <c r="H20" i="83"/>
  <c r="H76" i="83"/>
  <c r="I76" i="83"/>
  <c r="J76" i="83" s="1"/>
  <c r="I79" i="83"/>
  <c r="J79" i="83" s="1"/>
  <c r="I73" i="83"/>
  <c r="G60" i="83"/>
  <c r="I60" i="83"/>
  <c r="I67" i="83"/>
  <c r="J67" i="83" s="1"/>
  <c r="H62" i="83"/>
  <c r="G21" i="83"/>
  <c r="I21" i="83"/>
  <c r="J21" i="83" s="1"/>
  <c r="I20" i="83"/>
  <c r="G27" i="83"/>
  <c r="H21" i="83"/>
  <c r="H67" i="83"/>
  <c r="G65" i="83"/>
  <c r="I64" i="83"/>
  <c r="H60" i="83"/>
  <c r="I33" i="83"/>
  <c r="J33" i="83" s="1"/>
  <c r="H36" i="83"/>
  <c r="G31" i="83"/>
  <c r="I34" i="83"/>
  <c r="G35" i="83"/>
  <c r="H39" i="83"/>
  <c r="I42" i="78"/>
  <c r="H26" i="83"/>
  <c r="I28" i="83"/>
  <c r="I23" i="83"/>
  <c r="H72" i="83"/>
  <c r="G70" i="83"/>
  <c r="I78" i="83"/>
  <c r="J78" i="83" s="1"/>
  <c r="H77" i="83"/>
  <c r="H64" i="83"/>
  <c r="G68" i="83"/>
  <c r="H63" i="83"/>
  <c r="I24" i="83"/>
  <c r="H22" i="83"/>
  <c r="G28" i="83"/>
  <c r="H23" i="83"/>
  <c r="I26" i="83"/>
  <c r="I77" i="83"/>
  <c r="J77" i="83" s="1"/>
  <c r="I75" i="83"/>
  <c r="H70" i="83"/>
  <c r="H79" i="83"/>
  <c r="H69" i="83"/>
  <c r="I62" i="83"/>
  <c r="G67" i="83"/>
  <c r="I27" i="83"/>
  <c r="I20" i="78"/>
  <c r="H70" i="78"/>
  <c r="M44" i="76" s="1"/>
  <c r="H28" i="78"/>
  <c r="E21" i="76" s="1"/>
  <c r="G29" i="78"/>
  <c r="D22" i="76" s="1"/>
  <c r="I70" i="78"/>
  <c r="I75" i="78"/>
  <c r="I65" i="78"/>
  <c r="H60" i="78"/>
  <c r="E44" i="76" s="1"/>
  <c r="G27" i="78"/>
  <c r="D20" i="76" s="1"/>
  <c r="I69" i="78"/>
  <c r="H23" i="78"/>
  <c r="E16" i="76" s="1"/>
  <c r="G28" i="78"/>
  <c r="D21" i="76" s="1"/>
  <c r="H71" i="78"/>
  <c r="M45" i="76" s="1"/>
  <c r="G65" i="78"/>
  <c r="D49" i="76" s="1"/>
  <c r="I79" i="78"/>
  <c r="H21" i="78"/>
  <c r="E14" i="76" s="1"/>
  <c r="I22" i="78"/>
  <c r="J22" i="78" s="1"/>
  <c r="I26" i="78"/>
  <c r="G76" i="78"/>
  <c r="L50" i="76" s="1"/>
  <c r="I73" i="78"/>
  <c r="F46" i="76"/>
  <c r="I22" i="81"/>
  <c r="S21" i="82" s="1"/>
  <c r="I20" i="81"/>
  <c r="S19" i="82" s="1"/>
  <c r="I18" i="81"/>
  <c r="S17" i="82" s="1"/>
  <c r="I16" i="81"/>
  <c r="S15" i="82" s="1"/>
  <c r="I14" i="81"/>
  <c r="I15" i="81"/>
  <c r="S14" i="82" s="1"/>
  <c r="I21" i="81"/>
  <c r="S20" i="82" s="1"/>
  <c r="I23" i="81"/>
  <c r="S22" i="82" s="1"/>
  <c r="I17" i="81"/>
  <c r="S16" i="82" s="1"/>
  <c r="I19" i="81"/>
  <c r="S18" i="82" s="1"/>
  <c r="I52" i="81"/>
  <c r="H53" i="82" s="1"/>
  <c r="I48" i="81"/>
  <c r="H49" i="82" s="1"/>
  <c r="I50" i="81"/>
  <c r="H51" i="82" s="1"/>
  <c r="I46" i="81"/>
  <c r="H47" i="82" s="1"/>
  <c r="I44" i="81"/>
  <c r="I53" i="81"/>
  <c r="H54" i="82" s="1"/>
  <c r="I45" i="81"/>
  <c r="H46" i="82" s="1"/>
  <c r="I47" i="81"/>
  <c r="H48" i="82" s="1"/>
  <c r="I49" i="81"/>
  <c r="H50" i="82" s="1"/>
  <c r="I51" i="81"/>
  <c r="H52" i="82" s="1"/>
  <c r="E106" i="81"/>
  <c r="H50" i="78"/>
  <c r="M28" i="76" s="1"/>
  <c r="I59" i="78"/>
  <c r="J59" i="78" s="1"/>
  <c r="H54" i="78"/>
  <c r="M32" i="76" s="1"/>
  <c r="H51" i="78"/>
  <c r="M29" i="76" s="1"/>
  <c r="I50" i="78"/>
  <c r="H24" i="78"/>
  <c r="E17" i="76" s="1"/>
  <c r="I23" i="78"/>
  <c r="J23" i="78" s="1"/>
  <c r="I21" i="78"/>
  <c r="G26" i="78"/>
  <c r="D19" i="76" s="1"/>
  <c r="I25" i="78"/>
  <c r="G73" i="78"/>
  <c r="L47" i="76" s="1"/>
  <c r="G79" i="78"/>
  <c r="L53" i="76" s="1"/>
  <c r="H72" i="78"/>
  <c r="M46" i="76" s="1"/>
  <c r="I71" i="78"/>
  <c r="I68" i="78"/>
  <c r="J68" i="78" s="1"/>
  <c r="G64" i="78"/>
  <c r="D48" i="76" s="1"/>
  <c r="G64" i="81"/>
  <c r="D109" i="81"/>
  <c r="D23" i="82"/>
  <c r="F64" i="81"/>
  <c r="C109" i="81"/>
  <c r="C13" i="82"/>
  <c r="C23" i="82" s="1"/>
  <c r="C55" i="82"/>
  <c r="I56" i="78"/>
  <c r="J56" i="78" s="1"/>
  <c r="I58" i="78"/>
  <c r="J58" i="78" s="1"/>
  <c r="G56" i="78"/>
  <c r="L34" i="76" s="1"/>
  <c r="I51" i="78"/>
  <c r="C104" i="81"/>
  <c r="N45" i="82"/>
  <c r="N55" i="82" s="1"/>
  <c r="G23" i="78"/>
  <c r="D16" i="76" s="1"/>
  <c r="G24" i="78"/>
  <c r="D17" i="76" s="1"/>
  <c r="H26" i="78"/>
  <c r="E19" i="76" s="1"/>
  <c r="H22" i="78"/>
  <c r="E15" i="76" s="1"/>
  <c r="G25" i="78"/>
  <c r="D18" i="76" s="1"/>
  <c r="H20" i="78"/>
  <c r="G74" i="78"/>
  <c r="L48" i="76" s="1"/>
  <c r="I72" i="78"/>
  <c r="I78" i="78"/>
  <c r="J78" i="78" s="1"/>
  <c r="E108" i="81"/>
  <c r="P13" i="82"/>
  <c r="P23" i="82" s="1"/>
  <c r="I60" i="78"/>
  <c r="I61" i="78"/>
  <c r="H69" i="78"/>
  <c r="E53" i="76" s="1"/>
  <c r="I34" i="81"/>
  <c r="I42" i="81"/>
  <c r="S37" i="82" s="1"/>
  <c r="I38" i="81"/>
  <c r="S33" i="82" s="1"/>
  <c r="I40" i="81"/>
  <c r="S35" i="82" s="1"/>
  <c r="I36" i="81"/>
  <c r="S31" i="82" s="1"/>
  <c r="I43" i="81"/>
  <c r="S38" i="82" s="1"/>
  <c r="I37" i="81"/>
  <c r="S32" i="82" s="1"/>
  <c r="I35" i="81"/>
  <c r="S30" i="82" s="1"/>
  <c r="I39" i="81"/>
  <c r="S34" i="82" s="1"/>
  <c r="I41" i="81"/>
  <c r="S36" i="82" s="1"/>
  <c r="C105" i="81"/>
  <c r="D106" i="81"/>
  <c r="O29" i="82"/>
  <c r="O39" i="82" s="1"/>
  <c r="G51" i="78"/>
  <c r="L29" i="76" s="1"/>
  <c r="H53" i="78"/>
  <c r="M31" i="76" s="1"/>
  <c r="H52" i="78"/>
  <c r="M30" i="76" s="1"/>
  <c r="E23" i="82"/>
  <c r="E107" i="81"/>
  <c r="E29" i="82"/>
  <c r="E39" i="82" s="1"/>
  <c r="D108" i="81"/>
  <c r="O13" i="82"/>
  <c r="O23" i="82" s="1"/>
  <c r="H25" i="78"/>
  <c r="E18" i="76" s="1"/>
  <c r="I27" i="78"/>
  <c r="J27" i="78" s="1"/>
  <c r="I29" i="78"/>
  <c r="J29" i="78" s="1"/>
  <c r="D105" i="81"/>
  <c r="D45" i="82"/>
  <c r="D55" i="82" s="1"/>
  <c r="H76" i="78"/>
  <c r="M50" i="76" s="1"/>
  <c r="I77" i="78"/>
  <c r="J77" i="78" s="1"/>
  <c r="H79" i="78"/>
  <c r="M53" i="76" s="1"/>
  <c r="I74" i="78"/>
  <c r="H65" i="78"/>
  <c r="E49" i="76" s="1"/>
  <c r="G66" i="78"/>
  <c r="D50" i="76" s="1"/>
  <c r="H63" i="78"/>
  <c r="E47" i="76" s="1"/>
  <c r="G61" i="78"/>
  <c r="D45" i="76" s="1"/>
  <c r="H61" i="78"/>
  <c r="E45" i="76" s="1"/>
  <c r="G69" i="78"/>
  <c r="D53" i="76" s="1"/>
  <c r="D104" i="81"/>
  <c r="O45" i="82"/>
  <c r="O55" i="82" s="1"/>
  <c r="G50" i="78"/>
  <c r="L28" i="76" s="1"/>
  <c r="H57" i="78"/>
  <c r="M35" i="76" s="1"/>
  <c r="H55" i="78"/>
  <c r="M33" i="76" s="1"/>
  <c r="E105" i="81"/>
  <c r="E45" i="82"/>
  <c r="E55" i="82" s="1"/>
  <c r="H64" i="81"/>
  <c r="H29" i="78"/>
  <c r="E22" i="76" s="1"/>
  <c r="G22" i="78"/>
  <c r="D15" i="76" s="1"/>
  <c r="I76" i="78"/>
  <c r="J76" i="78" s="1"/>
  <c r="G77" i="78"/>
  <c r="L51" i="76" s="1"/>
  <c r="G71" i="78"/>
  <c r="L45" i="76" s="1"/>
  <c r="H74" i="78"/>
  <c r="M48" i="76" s="1"/>
  <c r="I66" i="78"/>
  <c r="J66" i="78" s="1"/>
  <c r="G68" i="78"/>
  <c r="D52" i="76" s="1"/>
  <c r="I64" i="78"/>
  <c r="H67" i="78"/>
  <c r="E51" i="76" s="1"/>
  <c r="H64" i="78"/>
  <c r="E48" i="76" s="1"/>
  <c r="H68" i="78"/>
  <c r="E52" i="76" s="1"/>
  <c r="H62" i="78"/>
  <c r="E46" i="76" s="1"/>
  <c r="E104" i="81"/>
  <c r="P45" i="82"/>
  <c r="P55" i="82" s="1"/>
  <c r="I60" i="81"/>
  <c r="S51" i="82" s="1"/>
  <c r="I56" i="81"/>
  <c r="S47" i="82" s="1"/>
  <c r="I62" i="81"/>
  <c r="S53" i="82" s="1"/>
  <c r="I58" i="81"/>
  <c r="S49" i="82" s="1"/>
  <c r="I54" i="81"/>
  <c r="I63" i="81"/>
  <c r="S54" i="82" s="1"/>
  <c r="I55" i="81"/>
  <c r="S46" i="82" s="1"/>
  <c r="I57" i="81"/>
  <c r="S48" i="82" s="1"/>
  <c r="I59" i="81"/>
  <c r="S50" i="82" s="1"/>
  <c r="I61" i="81"/>
  <c r="S52" i="82" s="1"/>
  <c r="G57" i="78"/>
  <c r="L35" i="76" s="1"/>
  <c r="H56" i="78"/>
  <c r="M34" i="76" s="1"/>
  <c r="E109" i="81"/>
  <c r="C107" i="81"/>
  <c r="C29" i="82"/>
  <c r="C39" i="82" s="1"/>
  <c r="H77" i="78"/>
  <c r="M51" i="76" s="1"/>
  <c r="G75" i="78"/>
  <c r="L49" i="76" s="1"/>
  <c r="H75" i="78"/>
  <c r="M49" i="76" s="1"/>
  <c r="G78" i="78"/>
  <c r="L52" i="76" s="1"/>
  <c r="H73" i="78"/>
  <c r="M47" i="76" s="1"/>
  <c r="D107" i="81"/>
  <c r="D29" i="82"/>
  <c r="D39" i="82" s="1"/>
  <c r="I26" i="81"/>
  <c r="H31" i="82" s="1"/>
  <c r="I30" i="81"/>
  <c r="H35" i="82" s="1"/>
  <c r="I32" i="81"/>
  <c r="H37" i="82" s="1"/>
  <c r="I24" i="81"/>
  <c r="I28" i="81"/>
  <c r="H33" i="82" s="1"/>
  <c r="I27" i="81"/>
  <c r="H32" i="82" s="1"/>
  <c r="I29" i="81"/>
  <c r="H34" i="82" s="1"/>
  <c r="I31" i="81"/>
  <c r="H36" i="82" s="1"/>
  <c r="I25" i="81"/>
  <c r="H30" i="82" s="1"/>
  <c r="I33" i="81"/>
  <c r="H38" i="82" s="1"/>
  <c r="G67" i="78"/>
  <c r="D51" i="76" s="1"/>
  <c r="I63" i="78"/>
  <c r="I67" i="78"/>
  <c r="J67" i="78" s="1"/>
  <c r="H66" i="78"/>
  <c r="E50" i="76" s="1"/>
  <c r="G62" i="78"/>
  <c r="D46" i="76" s="1"/>
  <c r="N39" i="82"/>
  <c r="I12" i="81"/>
  <c r="I10" i="81"/>
  <c r="I8" i="81"/>
  <c r="I6" i="81"/>
  <c r="I4" i="81"/>
  <c r="I11" i="81"/>
  <c r="H20" i="82" s="1"/>
  <c r="I13" i="81"/>
  <c r="H22" i="82" s="1"/>
  <c r="I7" i="81"/>
  <c r="H16" i="82" s="1"/>
  <c r="I5" i="81"/>
  <c r="H14" i="82" s="1"/>
  <c r="I9" i="81"/>
  <c r="H18" i="82" s="1"/>
  <c r="I53" i="78"/>
  <c r="G52" i="78"/>
  <c r="L30" i="76" s="1"/>
  <c r="G54" i="78"/>
  <c r="L32" i="76" s="1"/>
  <c r="I55" i="78"/>
  <c r="J55" i="78" s="1"/>
  <c r="C108" i="81"/>
  <c r="N13" i="82"/>
  <c r="N23" i="82" s="1"/>
  <c r="G72" i="78"/>
  <c r="L46" i="76" s="1"/>
  <c r="H78" i="78"/>
  <c r="M52" i="76" s="1"/>
  <c r="P39" i="82"/>
  <c r="G63" i="78"/>
  <c r="D47" i="76" s="1"/>
  <c r="C106" i="81"/>
  <c r="J21" i="86" l="1"/>
  <c r="J25" i="78"/>
  <c r="J21" i="78"/>
  <c r="D86" i="78"/>
  <c r="J26" i="83"/>
  <c r="J25" i="83"/>
  <c r="J34" i="78"/>
  <c r="Q17" i="76" s="1"/>
  <c r="J24" i="86"/>
  <c r="J22" i="86"/>
  <c r="J25" i="86"/>
  <c r="J32" i="86"/>
  <c r="K70" i="83"/>
  <c r="H11" i="78"/>
  <c r="J11" i="78" s="1"/>
  <c r="D41" i="86"/>
  <c r="J41" i="86" s="1"/>
  <c r="B42" i="86"/>
  <c r="B42" i="78"/>
  <c r="D41" i="78"/>
  <c r="C29" i="76" s="1"/>
  <c r="B72" i="78"/>
  <c r="D71" i="78"/>
  <c r="K45" i="76" s="1"/>
  <c r="B52" i="83"/>
  <c r="D51" i="83"/>
  <c r="J51" i="83" s="1"/>
  <c r="B42" i="83"/>
  <c r="D41" i="83"/>
  <c r="K41" i="83" s="1"/>
  <c r="D61" i="86"/>
  <c r="J61" i="86" s="1"/>
  <c r="B62" i="86"/>
  <c r="D61" i="78"/>
  <c r="C45" i="76" s="1"/>
  <c r="B62" i="78"/>
  <c r="H11" i="86"/>
  <c r="J11" i="86" s="1"/>
  <c r="D61" i="83"/>
  <c r="J61" i="83" s="1"/>
  <c r="B62" i="83"/>
  <c r="B72" i="86"/>
  <c r="D71" i="86"/>
  <c r="J71" i="86" s="1"/>
  <c r="D71" i="83"/>
  <c r="J71" i="83" s="1"/>
  <c r="B72" i="83"/>
  <c r="D51" i="86"/>
  <c r="K51" i="86" s="1"/>
  <c r="B52" i="86"/>
  <c r="D51" i="78"/>
  <c r="K29" i="76" s="1"/>
  <c r="B52" i="78"/>
  <c r="G12" i="78"/>
  <c r="I12" i="78" s="1"/>
  <c r="G11" i="86"/>
  <c r="I11" i="86" s="1"/>
  <c r="G11" i="78"/>
  <c r="I11" i="78" s="1"/>
  <c r="G12" i="83"/>
  <c r="I12" i="83" s="1"/>
  <c r="J33" i="78"/>
  <c r="W16" i="82" s="1"/>
  <c r="H12" i="78"/>
  <c r="J12" i="78" s="1"/>
  <c r="J33" i="86"/>
  <c r="H12" i="86"/>
  <c r="J12" i="86" s="1"/>
  <c r="G12" i="86"/>
  <c r="I12" i="86" s="1"/>
  <c r="K40" i="83"/>
  <c r="F28" i="76"/>
  <c r="K70" i="78"/>
  <c r="J24" i="78"/>
  <c r="J26" i="86"/>
  <c r="H11" i="83"/>
  <c r="J11" i="83" s="1"/>
  <c r="K39" i="78"/>
  <c r="F33" i="76"/>
  <c r="N16" i="76"/>
  <c r="K33" i="78"/>
  <c r="N22" i="76"/>
  <c r="N35" i="76"/>
  <c r="F53" i="76"/>
  <c r="J69" i="78"/>
  <c r="J30" i="78"/>
  <c r="Q13" i="76" s="1"/>
  <c r="F37" i="76"/>
  <c r="J49" i="78"/>
  <c r="K39" i="83"/>
  <c r="J39" i="83"/>
  <c r="J30" i="86"/>
  <c r="F36" i="76"/>
  <c r="J48" i="78"/>
  <c r="F35" i="76"/>
  <c r="J47" i="78"/>
  <c r="F29" i="76"/>
  <c r="F49" i="76"/>
  <c r="J65" i="78"/>
  <c r="K37" i="83"/>
  <c r="J37" i="83"/>
  <c r="F31" i="76"/>
  <c r="J60" i="78"/>
  <c r="H80" i="78"/>
  <c r="J50" i="78"/>
  <c r="N49" i="76"/>
  <c r="K34" i="83"/>
  <c r="J34" i="83"/>
  <c r="K32" i="83"/>
  <c r="J32" i="83"/>
  <c r="K36" i="83"/>
  <c r="J36" i="83"/>
  <c r="K38" i="78"/>
  <c r="J38" i="78"/>
  <c r="W21" i="82" s="1"/>
  <c r="K37" i="78"/>
  <c r="J37" i="78"/>
  <c r="W20" i="82" s="1"/>
  <c r="K38" i="83"/>
  <c r="J38" i="83"/>
  <c r="K30" i="83"/>
  <c r="J30" i="83"/>
  <c r="J40" i="86"/>
  <c r="J50" i="86"/>
  <c r="K31" i="83"/>
  <c r="J31" i="83"/>
  <c r="J70" i="86"/>
  <c r="N53" i="76"/>
  <c r="J79" i="78"/>
  <c r="J60" i="83"/>
  <c r="J70" i="83"/>
  <c r="F34" i="76"/>
  <c r="J46" i="78"/>
  <c r="J70" i="78"/>
  <c r="Q44" i="76" s="1"/>
  <c r="J40" i="83"/>
  <c r="F32" i="76"/>
  <c r="K40" i="78"/>
  <c r="J40" i="78"/>
  <c r="L29" i="82" s="1"/>
  <c r="N32" i="76"/>
  <c r="N47" i="76"/>
  <c r="J50" i="83"/>
  <c r="K31" i="78"/>
  <c r="J31" i="78"/>
  <c r="W14" i="82" s="1"/>
  <c r="J60" i="86"/>
  <c r="K36" i="78"/>
  <c r="J36" i="78"/>
  <c r="Q19" i="76" s="1"/>
  <c r="K24" i="83"/>
  <c r="J24" i="83"/>
  <c r="K23" i="83"/>
  <c r="J23" i="83"/>
  <c r="K20" i="83"/>
  <c r="I80" i="83"/>
  <c r="J20" i="83"/>
  <c r="K28" i="83"/>
  <c r="J28" i="83"/>
  <c r="K22" i="83"/>
  <c r="J22" i="83"/>
  <c r="G80" i="78"/>
  <c r="K26" i="78"/>
  <c r="J26" i="78"/>
  <c r="I19" i="76" s="1"/>
  <c r="I80" i="78"/>
  <c r="J20" i="78"/>
  <c r="L13" i="82" s="1"/>
  <c r="H80" i="83"/>
  <c r="G80" i="86"/>
  <c r="K27" i="83"/>
  <c r="J27" i="83"/>
  <c r="I80" i="86"/>
  <c r="J20" i="86"/>
  <c r="K29" i="83"/>
  <c r="J29" i="83"/>
  <c r="G80" i="83"/>
  <c r="H80" i="86"/>
  <c r="U39" i="82"/>
  <c r="J39" i="82"/>
  <c r="J23" i="82"/>
  <c r="U23" i="82"/>
  <c r="K20" i="78"/>
  <c r="C86" i="78"/>
  <c r="K60" i="83"/>
  <c r="K33" i="83"/>
  <c r="N14" i="76"/>
  <c r="N20" i="76"/>
  <c r="K34" i="78"/>
  <c r="K34" i="86"/>
  <c r="K60" i="86"/>
  <c r="K33" i="86"/>
  <c r="K41" i="86"/>
  <c r="K24" i="86"/>
  <c r="K26" i="86"/>
  <c r="K22" i="86"/>
  <c r="K30" i="86"/>
  <c r="K38" i="86"/>
  <c r="K21" i="86"/>
  <c r="K28" i="86"/>
  <c r="K25" i="86"/>
  <c r="K32" i="86"/>
  <c r="K20" i="86"/>
  <c r="K39" i="86"/>
  <c r="K70" i="86"/>
  <c r="K23" i="86"/>
  <c r="K35" i="86"/>
  <c r="K37" i="86"/>
  <c r="K36" i="86"/>
  <c r="K27" i="86"/>
  <c r="K29" i="86"/>
  <c r="K40" i="86"/>
  <c r="K50" i="86"/>
  <c r="K31" i="86"/>
  <c r="S45" i="82"/>
  <c r="S55" i="82" s="1"/>
  <c r="P116" i="85"/>
  <c r="R116" i="85" s="1"/>
  <c r="H45" i="82"/>
  <c r="H55" i="82" s="1"/>
  <c r="P114" i="85"/>
  <c r="R114" i="85" s="1"/>
  <c r="S29" i="82"/>
  <c r="S39" i="82" s="1"/>
  <c r="P112" i="85"/>
  <c r="R112" i="85" s="1"/>
  <c r="H29" i="82"/>
  <c r="H39" i="82" s="1"/>
  <c r="P110" i="85"/>
  <c r="R110" i="85" s="1"/>
  <c r="P108" i="85"/>
  <c r="R108" i="85" s="1"/>
  <c r="S13" i="82"/>
  <c r="S23" i="82" s="1"/>
  <c r="H21" i="82"/>
  <c r="H19" i="82"/>
  <c r="H17" i="82"/>
  <c r="H15" i="82"/>
  <c r="P106" i="85"/>
  <c r="R106" i="85" s="1"/>
  <c r="K32" i="78"/>
  <c r="K26" i="83"/>
  <c r="N19" i="76"/>
  <c r="K35" i="78"/>
  <c r="N17" i="76"/>
  <c r="K25" i="83"/>
  <c r="N18" i="76"/>
  <c r="F30" i="76"/>
  <c r="F13" i="76"/>
  <c r="D87" i="78"/>
  <c r="F15" i="76"/>
  <c r="K22" i="78"/>
  <c r="N15" i="76"/>
  <c r="K50" i="83"/>
  <c r="F19" i="76"/>
  <c r="K28" i="78"/>
  <c r="K30" i="78"/>
  <c r="K21" i="83"/>
  <c r="F21" i="76"/>
  <c r="N13" i="76"/>
  <c r="C87" i="78"/>
  <c r="N21" i="76"/>
  <c r="G11" i="83"/>
  <c r="I11" i="83" s="1"/>
  <c r="H12" i="83"/>
  <c r="J12" i="83" s="1"/>
  <c r="N44" i="76"/>
  <c r="F48" i="76"/>
  <c r="N48" i="76"/>
  <c r="N36" i="76"/>
  <c r="N34" i="76"/>
  <c r="E13" i="76"/>
  <c r="K25" i="78"/>
  <c r="F18" i="76"/>
  <c r="W17" i="82"/>
  <c r="K29" i="78"/>
  <c r="F22" i="76"/>
  <c r="K60" i="78"/>
  <c r="F44" i="76"/>
  <c r="N52" i="76"/>
  <c r="Q15" i="76"/>
  <c r="W15" i="82"/>
  <c r="F52" i="76"/>
  <c r="L21" i="82"/>
  <c r="I21" i="76"/>
  <c r="F50" i="76"/>
  <c r="N50" i="76"/>
  <c r="K27" i="78"/>
  <c r="F20" i="76"/>
  <c r="F45" i="76"/>
  <c r="N46" i="76"/>
  <c r="N29" i="76"/>
  <c r="N37" i="76"/>
  <c r="F51" i="76"/>
  <c r="N45" i="76"/>
  <c r="K21" i="78"/>
  <c r="F14" i="76"/>
  <c r="K50" i="78"/>
  <c r="N28" i="76"/>
  <c r="N33" i="76"/>
  <c r="W18" i="82"/>
  <c r="Q18" i="76"/>
  <c r="I64" i="81"/>
  <c r="H11" i="84"/>
  <c r="H13" i="82"/>
  <c r="F47" i="76"/>
  <c r="N51" i="76"/>
  <c r="I15" i="76"/>
  <c r="L15" i="82"/>
  <c r="K23" i="78"/>
  <c r="F16" i="76"/>
  <c r="Q22" i="76"/>
  <c r="W22" i="82"/>
  <c r="K24" i="78"/>
  <c r="N31" i="76"/>
  <c r="F11" i="86" l="1"/>
  <c r="F11" i="78"/>
  <c r="J41" i="78"/>
  <c r="I29" i="76" s="1"/>
  <c r="J41" i="83"/>
  <c r="K61" i="78"/>
  <c r="K61" i="86"/>
  <c r="K71" i="86"/>
  <c r="K51" i="83"/>
  <c r="K41" i="78"/>
  <c r="K71" i="83"/>
  <c r="J51" i="86"/>
  <c r="K71" i="78"/>
  <c r="K51" i="78"/>
  <c r="K61" i="83"/>
  <c r="J51" i="78"/>
  <c r="Q29" i="76" s="1"/>
  <c r="J71" i="78"/>
  <c r="W46" i="82" s="1"/>
  <c r="J61" i="78"/>
  <c r="L46" i="82" s="1"/>
  <c r="D72" i="86"/>
  <c r="B73" i="86"/>
  <c r="B63" i="78"/>
  <c r="D62" i="78"/>
  <c r="J62" i="78" s="1"/>
  <c r="L47" i="82" s="1"/>
  <c r="D62" i="86"/>
  <c r="B63" i="86"/>
  <c r="D42" i="86"/>
  <c r="B43" i="86"/>
  <c r="B53" i="78"/>
  <c r="D52" i="78"/>
  <c r="J52" i="78" s="1"/>
  <c r="Q30" i="76" s="1"/>
  <c r="B53" i="86"/>
  <c r="D52" i="86"/>
  <c r="B73" i="83"/>
  <c r="D72" i="83"/>
  <c r="B63" i="83"/>
  <c r="D62" i="83"/>
  <c r="B43" i="83"/>
  <c r="D42" i="83"/>
  <c r="B53" i="83"/>
  <c r="D52" i="83"/>
  <c r="D72" i="78"/>
  <c r="J72" i="78" s="1"/>
  <c r="W47" i="82" s="1"/>
  <c r="B73" i="78"/>
  <c r="B43" i="78"/>
  <c r="D42" i="78"/>
  <c r="J42" i="78" s="1"/>
  <c r="L31" i="82" s="1"/>
  <c r="F12" i="78"/>
  <c r="Q16" i="76"/>
  <c r="F12" i="86"/>
  <c r="F12" i="83"/>
  <c r="F11" i="83"/>
  <c r="W45" i="82"/>
  <c r="I28" i="76"/>
  <c r="W13" i="82"/>
  <c r="K11" i="84"/>
  <c r="Q14" i="76"/>
  <c r="W19" i="82"/>
  <c r="H23" i="82"/>
  <c r="Q20" i="76"/>
  <c r="I13" i="76"/>
  <c r="Q21" i="76"/>
  <c r="L19" i="82"/>
  <c r="L17" i="82"/>
  <c r="I17" i="76"/>
  <c r="I44" i="76"/>
  <c r="L45" i="82"/>
  <c r="L22" i="82"/>
  <c r="I22" i="76"/>
  <c r="I14" i="76"/>
  <c r="L14" i="82"/>
  <c r="L18" i="82"/>
  <c r="I18" i="76"/>
  <c r="I16" i="76"/>
  <c r="L16" i="82"/>
  <c r="W29" i="82"/>
  <c r="Q28" i="76"/>
  <c r="I20" i="76"/>
  <c r="L20" i="82"/>
  <c r="W30" i="82" l="1"/>
  <c r="Q46" i="76"/>
  <c r="L30" i="82"/>
  <c r="I46" i="76"/>
  <c r="Q45" i="76"/>
  <c r="W31" i="82"/>
  <c r="I45" i="76"/>
  <c r="I30" i="76"/>
  <c r="K52" i="83"/>
  <c r="J52" i="83"/>
  <c r="K42" i="83"/>
  <c r="J42" i="83"/>
  <c r="K62" i="83"/>
  <c r="J62" i="83"/>
  <c r="K72" i="83"/>
  <c r="J72" i="83"/>
  <c r="K52" i="86"/>
  <c r="J52" i="86"/>
  <c r="K42" i="86"/>
  <c r="J42" i="86"/>
  <c r="K62" i="86"/>
  <c r="J62" i="86"/>
  <c r="K72" i="86"/>
  <c r="J72" i="86"/>
  <c r="C30" i="76"/>
  <c r="K42" i="78"/>
  <c r="B74" i="78"/>
  <c r="D73" i="78"/>
  <c r="K30" i="76"/>
  <c r="K52" i="78"/>
  <c r="B44" i="86"/>
  <c r="D43" i="86"/>
  <c r="B64" i="86"/>
  <c r="D63" i="86"/>
  <c r="C46" i="76"/>
  <c r="K62" i="78"/>
  <c r="B74" i="86"/>
  <c r="D73" i="86"/>
  <c r="D43" i="78"/>
  <c r="J43" i="78" s="1"/>
  <c r="L32" i="82" s="1"/>
  <c r="B44" i="78"/>
  <c r="K46" i="76"/>
  <c r="K72" i="78"/>
  <c r="D53" i="83"/>
  <c r="B54" i="83"/>
  <c r="B44" i="83"/>
  <c r="D43" i="83"/>
  <c r="D63" i="83"/>
  <c r="B64" i="83"/>
  <c r="B74" i="83"/>
  <c r="D73" i="83"/>
  <c r="B54" i="86"/>
  <c r="D53" i="86"/>
  <c r="B54" i="78"/>
  <c r="D53" i="78"/>
  <c r="J53" i="78" s="1"/>
  <c r="Q31" i="76" s="1"/>
  <c r="B64" i="78"/>
  <c r="D63" i="78"/>
  <c r="J63" i="78" s="1"/>
  <c r="L48" i="82" s="1"/>
  <c r="I31" i="76" l="1"/>
  <c r="I47" i="76"/>
  <c r="W32" i="82"/>
  <c r="K53" i="86"/>
  <c r="J53" i="86"/>
  <c r="K43" i="83"/>
  <c r="J43" i="83"/>
  <c r="K73" i="86"/>
  <c r="J73" i="86"/>
  <c r="K63" i="86"/>
  <c r="J63" i="86"/>
  <c r="K43" i="86"/>
  <c r="J43" i="86"/>
  <c r="C47" i="76"/>
  <c r="K63" i="78"/>
  <c r="K31" i="76"/>
  <c r="K53" i="78"/>
  <c r="J73" i="83"/>
  <c r="K73" i="83"/>
  <c r="B65" i="83"/>
  <c r="D64" i="83"/>
  <c r="D54" i="83"/>
  <c r="B55" i="83"/>
  <c r="B45" i="78"/>
  <c r="D44" i="78"/>
  <c r="J73" i="78"/>
  <c r="K73" i="78"/>
  <c r="K47" i="76"/>
  <c r="B65" i="78"/>
  <c r="D64" i="78"/>
  <c r="D54" i="78"/>
  <c r="B55" i="78"/>
  <c r="B55" i="86"/>
  <c r="D54" i="86"/>
  <c r="D74" i="83"/>
  <c r="B75" i="83"/>
  <c r="J63" i="83"/>
  <c r="K63" i="83"/>
  <c r="D44" i="83"/>
  <c r="B45" i="83"/>
  <c r="J53" i="83"/>
  <c r="K53" i="83"/>
  <c r="K43" i="78"/>
  <c r="C31" i="76"/>
  <c r="D74" i="86"/>
  <c r="B75" i="86"/>
  <c r="B65" i="86"/>
  <c r="D64" i="86"/>
  <c r="B45" i="86"/>
  <c r="D44" i="86"/>
  <c r="D74" i="78"/>
  <c r="B75" i="78"/>
  <c r="K44" i="86" l="1"/>
  <c r="J44" i="86"/>
  <c r="K64" i="86"/>
  <c r="J64" i="86"/>
  <c r="K54" i="86"/>
  <c r="J54" i="86"/>
  <c r="J74" i="78"/>
  <c r="K48" i="76"/>
  <c r="K74" i="78"/>
  <c r="D45" i="86"/>
  <c r="K45" i="86" s="1"/>
  <c r="B46" i="86"/>
  <c r="B66" i="86"/>
  <c r="D65" i="86"/>
  <c r="K65" i="86" s="1"/>
  <c r="J74" i="86"/>
  <c r="K74" i="86"/>
  <c r="J44" i="83"/>
  <c r="K44" i="83"/>
  <c r="J74" i="83"/>
  <c r="K74" i="83"/>
  <c r="D55" i="86"/>
  <c r="K55" i="86" s="1"/>
  <c r="B56" i="86"/>
  <c r="J54" i="78"/>
  <c r="K32" i="76"/>
  <c r="K54" i="78"/>
  <c r="D65" i="78"/>
  <c r="B66" i="78"/>
  <c r="J44" i="78"/>
  <c r="K44" i="78"/>
  <c r="C32" i="76"/>
  <c r="D55" i="83"/>
  <c r="K55" i="83" s="1"/>
  <c r="B56" i="83"/>
  <c r="J64" i="83"/>
  <c r="K64" i="83"/>
  <c r="D75" i="78"/>
  <c r="B76" i="78"/>
  <c r="B76" i="86"/>
  <c r="D75" i="86"/>
  <c r="D45" i="83"/>
  <c r="K45" i="83" s="1"/>
  <c r="B46" i="83"/>
  <c r="B76" i="83"/>
  <c r="D75" i="83"/>
  <c r="D55" i="78"/>
  <c r="B56" i="78"/>
  <c r="J64" i="78"/>
  <c r="C48" i="76"/>
  <c r="K64" i="78"/>
  <c r="Q47" i="76"/>
  <c r="W48" i="82"/>
  <c r="D45" i="78"/>
  <c r="B46" i="78"/>
  <c r="J54" i="83"/>
  <c r="K54" i="83"/>
  <c r="D65" i="83"/>
  <c r="K65" i="83" s="1"/>
  <c r="B66" i="83"/>
  <c r="L34" i="82"/>
  <c r="I33" i="76"/>
  <c r="W34" i="82"/>
  <c r="Q33" i="76"/>
  <c r="L50" i="82"/>
  <c r="I49" i="76"/>
  <c r="K55" i="78" l="1"/>
  <c r="K33" i="76"/>
  <c r="K45" i="78"/>
  <c r="C33" i="76"/>
  <c r="K65" i="78"/>
  <c r="C49" i="76"/>
  <c r="D66" i="83"/>
  <c r="K66" i="83" s="1"/>
  <c r="B67" i="83"/>
  <c r="B47" i="78"/>
  <c r="D46" i="78"/>
  <c r="I48" i="76"/>
  <c r="L49" i="82"/>
  <c r="B77" i="83"/>
  <c r="D76" i="83"/>
  <c r="K76" i="83" s="1"/>
  <c r="D76" i="86"/>
  <c r="K76" i="86" s="1"/>
  <c r="B77" i="86"/>
  <c r="J75" i="78"/>
  <c r="K49" i="76"/>
  <c r="K75" i="78"/>
  <c r="B67" i="78"/>
  <c r="D66" i="78"/>
  <c r="Q32" i="76"/>
  <c r="W33" i="82"/>
  <c r="D66" i="86"/>
  <c r="K66" i="86" s="1"/>
  <c r="B67" i="86"/>
  <c r="D56" i="78"/>
  <c r="B57" i="78"/>
  <c r="J75" i="83"/>
  <c r="K75" i="83"/>
  <c r="D90" i="83" s="1"/>
  <c r="B47" i="83"/>
  <c r="D46" i="83"/>
  <c r="K46" i="83" s="1"/>
  <c r="J75" i="86"/>
  <c r="C90" i="86" s="1"/>
  <c r="K75" i="86"/>
  <c r="D90" i="86" s="1"/>
  <c r="D76" i="78"/>
  <c r="B77" i="78"/>
  <c r="D56" i="83"/>
  <c r="K56" i="83" s="1"/>
  <c r="B57" i="83"/>
  <c r="L33" i="82"/>
  <c r="I32" i="76"/>
  <c r="B57" i="86"/>
  <c r="D56" i="86"/>
  <c r="K56" i="86" s="1"/>
  <c r="D46" i="86"/>
  <c r="K46" i="86" s="1"/>
  <c r="B47" i="86"/>
  <c r="W49" i="82"/>
  <c r="Q48" i="76"/>
  <c r="M106" i="85"/>
  <c r="M108" i="85"/>
  <c r="C91" i="86"/>
  <c r="D91" i="86"/>
  <c r="L51" i="82"/>
  <c r="I50" i="76"/>
  <c r="W51" i="82"/>
  <c r="Q50" i="76"/>
  <c r="Q34" i="76"/>
  <c r="W35" i="82"/>
  <c r="L35" i="82"/>
  <c r="I34" i="76"/>
  <c r="C90" i="83" l="1"/>
  <c r="C87" i="83"/>
  <c r="C88" i="86"/>
  <c r="C87" i="86"/>
  <c r="K76" i="78"/>
  <c r="K50" i="76"/>
  <c r="K56" i="78"/>
  <c r="K34" i="76"/>
  <c r="K46" i="78"/>
  <c r="C34" i="76"/>
  <c r="K66" i="78"/>
  <c r="C50" i="76"/>
  <c r="D47" i="86"/>
  <c r="K47" i="86" s="1"/>
  <c r="B48" i="86"/>
  <c r="B58" i="86"/>
  <c r="D57" i="86"/>
  <c r="B48" i="83"/>
  <c r="D47" i="83"/>
  <c r="K47" i="83" s="1"/>
  <c r="B68" i="78"/>
  <c r="D67" i="78"/>
  <c r="B78" i="86"/>
  <c r="D77" i="86"/>
  <c r="D67" i="83"/>
  <c r="K67" i="83" s="1"/>
  <c r="B68" i="83"/>
  <c r="B58" i="83"/>
  <c r="D57" i="83"/>
  <c r="K57" i="83" s="1"/>
  <c r="B78" i="78"/>
  <c r="D77" i="78"/>
  <c r="D57" i="78"/>
  <c r="B58" i="78"/>
  <c r="B68" i="86"/>
  <c r="D67" i="86"/>
  <c r="W50" i="82"/>
  <c r="Q49" i="76"/>
  <c r="D77" i="83"/>
  <c r="K77" i="83" s="1"/>
  <c r="B78" i="83"/>
  <c r="B48" i="78"/>
  <c r="D47" i="78"/>
  <c r="D92" i="86"/>
  <c r="C92" i="86"/>
  <c r="D91" i="83"/>
  <c r="C91" i="83"/>
  <c r="I35" i="76"/>
  <c r="L36" i="82"/>
  <c r="Q35" i="76"/>
  <c r="W36" i="82"/>
  <c r="L52" i="82"/>
  <c r="I51" i="76"/>
  <c r="Q51" i="76"/>
  <c r="W52" i="82"/>
  <c r="K47" i="78" l="1"/>
  <c r="C35" i="76"/>
  <c r="K77" i="78"/>
  <c r="K51" i="76"/>
  <c r="K67" i="78"/>
  <c r="C51" i="76"/>
  <c r="K57" i="78"/>
  <c r="K35" i="76"/>
  <c r="B79" i="83"/>
  <c r="D79" i="83" s="1"/>
  <c r="D78" i="83"/>
  <c r="K78" i="83" s="1"/>
  <c r="K67" i="86"/>
  <c r="D58" i="78"/>
  <c r="K36" i="76" s="1"/>
  <c r="B59" i="78"/>
  <c r="D59" i="78" s="1"/>
  <c r="D68" i="83"/>
  <c r="B69" i="83"/>
  <c r="D69" i="83" s="1"/>
  <c r="K69" i="83" s="1"/>
  <c r="K77" i="86"/>
  <c r="K57" i="86"/>
  <c r="B49" i="86"/>
  <c r="D48" i="86"/>
  <c r="D48" i="78"/>
  <c r="C36" i="76" s="1"/>
  <c r="B49" i="78"/>
  <c r="B69" i="86"/>
  <c r="D69" i="86" s="1"/>
  <c r="K69" i="86" s="1"/>
  <c r="D68" i="86"/>
  <c r="K68" i="86" s="1"/>
  <c r="B79" i="78"/>
  <c r="D79" i="78" s="1"/>
  <c r="D78" i="78"/>
  <c r="D58" i="83"/>
  <c r="B59" i="83"/>
  <c r="D59" i="83" s="1"/>
  <c r="K59" i="83" s="1"/>
  <c r="B79" i="86"/>
  <c r="D79" i="86" s="1"/>
  <c r="D78" i="86"/>
  <c r="K78" i="86" s="1"/>
  <c r="B69" i="78"/>
  <c r="D69" i="78" s="1"/>
  <c r="C53" i="76" s="1"/>
  <c r="D68" i="78"/>
  <c r="C52" i="76" s="1"/>
  <c r="B49" i="83"/>
  <c r="D48" i="83"/>
  <c r="D58" i="86"/>
  <c r="K58" i="86" s="1"/>
  <c r="B59" i="86"/>
  <c r="D59" i="86" s="1"/>
  <c r="C85" i="86"/>
  <c r="C86" i="86"/>
  <c r="J80" i="86"/>
  <c r="C89" i="86"/>
  <c r="D92" i="83"/>
  <c r="L38" i="82"/>
  <c r="I37" i="76"/>
  <c r="Q36" i="76"/>
  <c r="W37" i="82"/>
  <c r="C85" i="83"/>
  <c r="W38" i="82"/>
  <c r="Q37" i="76"/>
  <c r="L54" i="82"/>
  <c r="I53" i="76"/>
  <c r="K53" i="76"/>
  <c r="J80" i="78"/>
  <c r="K79" i="78"/>
  <c r="C92" i="83"/>
  <c r="L53" i="82"/>
  <c r="I52" i="76"/>
  <c r="W53" i="82"/>
  <c r="Q52" i="76"/>
  <c r="I36" i="76"/>
  <c r="L37" i="82"/>
  <c r="K78" i="78" l="1"/>
  <c r="E16" i="78" s="1"/>
  <c r="K52" i="76"/>
  <c r="K59" i="78"/>
  <c r="K37" i="76"/>
  <c r="G16" i="83"/>
  <c r="I16" i="83" s="1"/>
  <c r="K79" i="83"/>
  <c r="D14" i="83"/>
  <c r="C96" i="83" s="1"/>
  <c r="G16" i="78"/>
  <c r="I16" i="78" s="1"/>
  <c r="C91" i="78"/>
  <c r="D13" i="86"/>
  <c r="C97" i="86" s="1"/>
  <c r="D15" i="83"/>
  <c r="C95" i="83" s="1"/>
  <c r="H16" i="78"/>
  <c r="J16" i="78" s="1"/>
  <c r="D14" i="78"/>
  <c r="D91" i="78"/>
  <c r="D15" i="78"/>
  <c r="H16" i="83"/>
  <c r="J16" i="83" s="1"/>
  <c r="H14" i="86"/>
  <c r="J14" i="86" s="1"/>
  <c r="K59" i="86"/>
  <c r="E14" i="86" s="1"/>
  <c r="K48" i="83"/>
  <c r="G15" i="78"/>
  <c r="I15" i="78" s="1"/>
  <c r="K68" i="78"/>
  <c r="D90" i="78"/>
  <c r="C90" i="78"/>
  <c r="D49" i="78"/>
  <c r="C88" i="78" s="1"/>
  <c r="E11" i="78"/>
  <c r="D11" i="78"/>
  <c r="D12" i="78"/>
  <c r="E12" i="78"/>
  <c r="E12" i="86"/>
  <c r="E11" i="86"/>
  <c r="D49" i="86"/>
  <c r="H13" i="86" s="1"/>
  <c r="J13" i="86" s="1"/>
  <c r="D11" i="86"/>
  <c r="D16" i="86"/>
  <c r="E15" i="86"/>
  <c r="D14" i="86"/>
  <c r="D15" i="86"/>
  <c r="H15" i="83"/>
  <c r="J15" i="83" s="1"/>
  <c r="G15" i="83"/>
  <c r="I15" i="83" s="1"/>
  <c r="K68" i="83"/>
  <c r="E15" i="83" s="1"/>
  <c r="D95" i="83" s="1"/>
  <c r="G15" i="86"/>
  <c r="I15" i="86" s="1"/>
  <c r="D49" i="83"/>
  <c r="D12" i="83"/>
  <c r="C98" i="83" s="1"/>
  <c r="E11" i="83"/>
  <c r="D99" i="83" s="1"/>
  <c r="E12" i="83"/>
  <c r="D98" i="83" s="1"/>
  <c r="D11" i="83"/>
  <c r="C99" i="83" s="1"/>
  <c r="H15" i="78"/>
  <c r="J15" i="78" s="1"/>
  <c r="K69" i="78"/>
  <c r="H16" i="86"/>
  <c r="K79" i="86"/>
  <c r="E16" i="86" s="1"/>
  <c r="G14" i="83"/>
  <c r="I14" i="83" s="1"/>
  <c r="H14" i="83"/>
  <c r="J14" i="83" s="1"/>
  <c r="K58" i="83"/>
  <c r="E14" i="83" s="1"/>
  <c r="D96" i="83" s="1"/>
  <c r="K48" i="78"/>
  <c r="D88" i="78"/>
  <c r="D12" i="86"/>
  <c r="K48" i="86"/>
  <c r="G14" i="86"/>
  <c r="I14" i="86" s="1"/>
  <c r="G16" i="86"/>
  <c r="I16" i="86" s="1"/>
  <c r="H15" i="86"/>
  <c r="J15" i="86" s="1"/>
  <c r="H14" i="78"/>
  <c r="J14" i="78" s="1"/>
  <c r="G14" i="78"/>
  <c r="I14" i="78" s="1"/>
  <c r="D89" i="78"/>
  <c r="C89" i="78"/>
  <c r="K58" i="78"/>
  <c r="C86" i="83"/>
  <c r="W54" i="82"/>
  <c r="Q53" i="76"/>
  <c r="D13" i="78"/>
  <c r="D16" i="78"/>
  <c r="C88" i="83"/>
  <c r="D13" i="83"/>
  <c r="C89" i="83"/>
  <c r="D16" i="83"/>
  <c r="C94" i="83" s="1"/>
  <c r="J80" i="83"/>
  <c r="F16" i="78" l="1"/>
  <c r="E14" i="78"/>
  <c r="G13" i="78"/>
  <c r="I13" i="78" s="1"/>
  <c r="C37" i="76"/>
  <c r="E16" i="83"/>
  <c r="D94" i="83" s="1"/>
  <c r="I110" i="85"/>
  <c r="F16" i="83"/>
  <c r="F14" i="86"/>
  <c r="M112" i="85" s="1"/>
  <c r="G17" i="86"/>
  <c r="I17" i="86" s="1"/>
  <c r="G13" i="86"/>
  <c r="I13" i="86" s="1"/>
  <c r="F13" i="86" s="1"/>
  <c r="M110" i="85" s="1"/>
  <c r="H13" i="78"/>
  <c r="J13" i="78" s="1"/>
  <c r="F13" i="78" s="1"/>
  <c r="F15" i="83"/>
  <c r="F14" i="83"/>
  <c r="D94" i="86"/>
  <c r="K116" i="85"/>
  <c r="F14" i="78"/>
  <c r="K49" i="83"/>
  <c r="H17" i="83"/>
  <c r="G17" i="83"/>
  <c r="D96" i="86"/>
  <c r="K112" i="85"/>
  <c r="I112" i="85"/>
  <c r="C96" i="86"/>
  <c r="C94" i="86"/>
  <c r="I116" i="85"/>
  <c r="H17" i="86"/>
  <c r="J17" i="86" s="1"/>
  <c r="K49" i="86"/>
  <c r="K108" i="85"/>
  <c r="D98" i="86"/>
  <c r="E15" i="78"/>
  <c r="H13" i="83"/>
  <c r="J13" i="83" s="1"/>
  <c r="I108" i="85"/>
  <c r="C98" i="86"/>
  <c r="J16" i="86"/>
  <c r="F16" i="86" s="1"/>
  <c r="M116" i="85" s="1"/>
  <c r="H6" i="86"/>
  <c r="F15" i="86"/>
  <c r="M114" i="85" s="1"/>
  <c r="C95" i="86"/>
  <c r="I114" i="85"/>
  <c r="D95" i="86"/>
  <c r="K114" i="85"/>
  <c r="I106" i="85"/>
  <c r="C99" i="86"/>
  <c r="D99" i="86"/>
  <c r="K106" i="85"/>
  <c r="K49" i="78"/>
  <c r="H17" i="78"/>
  <c r="J17" i="78" s="1"/>
  <c r="G17" i="78"/>
  <c r="I17" i="78" s="1"/>
  <c r="F15" i="78"/>
  <c r="G13" i="83"/>
  <c r="I13" i="83" s="1"/>
  <c r="D17" i="86"/>
  <c r="D17" i="78"/>
  <c r="C97" i="83"/>
  <c r="D17" i="83"/>
  <c r="F13" i="83" l="1"/>
  <c r="H114" i="85"/>
  <c r="T114" i="85" s="1"/>
  <c r="D86" i="86"/>
  <c r="D87" i="86"/>
  <c r="D89" i="83"/>
  <c r="D86" i="83"/>
  <c r="D87" i="83"/>
  <c r="D85" i="83"/>
  <c r="D85" i="86"/>
  <c r="D88" i="83"/>
  <c r="D89" i="86"/>
  <c r="D88" i="86"/>
  <c r="C8" i="78"/>
  <c r="F17" i="86"/>
  <c r="C8" i="83"/>
  <c r="B39" i="77" s="1"/>
  <c r="D8" i="83"/>
  <c r="D17" i="77" s="1"/>
  <c r="F17" i="77" s="1"/>
  <c r="H106" i="85"/>
  <c r="L106" i="85" s="1"/>
  <c r="D8" i="78"/>
  <c r="F17" i="78"/>
  <c r="K80" i="78"/>
  <c r="E13" i="78"/>
  <c r="E17" i="78" s="1"/>
  <c r="C8" i="86"/>
  <c r="H112" i="85"/>
  <c r="I17" i="83"/>
  <c r="D38" i="77"/>
  <c r="B24" i="77"/>
  <c r="D39" i="77"/>
  <c r="K80" i="83"/>
  <c r="E13" i="83"/>
  <c r="K80" i="86"/>
  <c r="H116" i="85"/>
  <c r="D8" i="86"/>
  <c r="H108" i="85"/>
  <c r="J17" i="83"/>
  <c r="E39" i="77"/>
  <c r="E24" i="77"/>
  <c r="E38" i="77"/>
  <c r="E13" i="86"/>
  <c r="K12" i="77"/>
  <c r="L114" i="85" l="1"/>
  <c r="N114" i="85"/>
  <c r="D12" i="77"/>
  <c r="F12" i="77" s="1"/>
  <c r="B40" i="77"/>
  <c r="E40" i="77"/>
  <c r="N106" i="85"/>
  <c r="T106" i="85"/>
  <c r="K110" i="85"/>
  <c r="H110" i="85" s="1"/>
  <c r="E17" i="86"/>
  <c r="D97" i="86"/>
  <c r="F17" i="83"/>
  <c r="L108" i="85"/>
  <c r="N108" i="85"/>
  <c r="T108" i="85"/>
  <c r="N116" i="85"/>
  <c r="L116" i="85"/>
  <c r="T116" i="85"/>
  <c r="E17" i="83"/>
  <c r="D97" i="83"/>
  <c r="D40" i="77"/>
  <c r="L112" i="85"/>
  <c r="T112" i="85"/>
  <c r="N112" i="85"/>
  <c r="K17" i="77" l="1"/>
  <c r="I12" i="77"/>
  <c r="L110" i="85"/>
  <c r="T110" i="85"/>
  <c r="N110" i="85"/>
  <c r="M17" i="77" l="1"/>
  <c r="M12"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Lucas Sanroma</author>
  </authors>
  <commentList>
    <comment ref="G11" authorId="0" shapeId="0" xr:uid="{679675AD-72DB-4EAB-8AA8-6F3EF0DD39A7}">
      <text>
        <r>
          <rPr>
            <sz val="9"/>
            <color indexed="81"/>
            <rFont val="Tahoma"/>
            <family val="2"/>
          </rPr>
          <t>La dirección le dice al sistema si un positivo
o valor negativo es algo bueno.
Ejemplo:
Más ingresos por ventas es algo bueno, por lo que la mejor dirección es "Arriba".
La reducción de la tasa de abandono también es algo bueno, pero la mejor dirección de la flecha es "Abajo".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Jovani Solís</author>
  </authors>
  <commentList>
    <comment ref="G11" authorId="0" shapeId="0" xr:uid="{75D64FFE-F8A4-4C6E-94F7-04EE526EA175}">
      <text>
        <r>
          <rPr>
            <sz val="9"/>
            <color indexed="81"/>
            <rFont val="Tahoma"/>
            <family val="2"/>
          </rPr>
          <t>La dirección le dice al sistema si un positivo
o valor negativo es algo bueno.
Ejemplo:
Más ingresos por ventas es algo bueno, por lo que la mejor dirección es "Arriba".
La reducción de la tasa de abandono también es algo bueno, pero la mejor dirección de la flecha es "Abajo".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Jovani Solís</author>
  </authors>
  <commentList>
    <comment ref="G11" authorId="0" shapeId="0" xr:uid="{F41A409F-281C-427C-9765-6906568F32B1}">
      <text>
        <r>
          <rPr>
            <sz val="9"/>
            <color indexed="81"/>
            <rFont val="Tahoma"/>
            <family val="2"/>
          </rPr>
          <t>La dirección le dice al sistema si un positivo
o valor negativo es algo bueno.
Ejemplo:
Más ingresos por ventas es algo bueno, por lo que la mejor dirección es "Arriba".
La reducción de la tasa de abandono también es algo bueno, pero la mejor dirección de la flecha es "Abajo".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Jovani Solís</author>
  </authors>
  <commentList>
    <comment ref="G11" authorId="0" shapeId="0" xr:uid="{F52AF70A-595C-4036-A15E-CBBDC728108F}">
      <text>
        <r>
          <rPr>
            <sz val="9"/>
            <color indexed="81"/>
            <rFont val="Tahoma"/>
            <family val="2"/>
          </rPr>
          <t xml:space="preserve">La dirección le dice al sistema si un positivo
o valor negativo es algo bueno.
Ejemplo:
Más ingresos por ventas es algo bueno, por lo que la mejor dirección es "Arriba".
La reducción de la tasa de abandono también es algo bueno, pero la mejor dirección de la flecha es "Abajo".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Jovani Solís</author>
  </authors>
  <commentList>
    <comment ref="G11" authorId="0" shapeId="0" xr:uid="{5E74C588-7F98-4B77-8D06-6C09A0CDAFDF}">
      <text>
        <r>
          <rPr>
            <sz val="9"/>
            <color indexed="81"/>
            <rFont val="Tahoma"/>
            <family val="2"/>
          </rPr>
          <t xml:space="preserve">La dirección le dice al sistema si un positivo
o valor negativo es algo bueno.
Ejemplo:
Más ingresos por ventas es algo bueno, por lo que la mejor dirección es "Arriba".
La reducción de la tasa de abandono también es algo bueno, pero la mejor dirección de la flecha es "Abajo".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Jovani Solís</author>
  </authors>
  <commentList>
    <comment ref="G11" authorId="0" shapeId="0" xr:uid="{71676E3A-B8B0-473C-9D18-496DC53B9C35}">
      <text>
        <r>
          <rPr>
            <sz val="9"/>
            <color indexed="81"/>
            <rFont val="Tahoma"/>
            <family val="2"/>
          </rPr>
          <t xml:space="preserve">La dirección le dice al sistema si un positivo
o valor negativo es algo bueno.
Ejemplo:
Más ingresos por ventas es algo bueno, por lo que la mejor dirección es "Arriba".
La reducción de la tasa de abandono también es algo bueno, pero la mejor dirección de la flecha es "Abajo".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Lucas Sanroma</author>
  </authors>
  <commentList>
    <comment ref="C12" authorId="0" shapeId="0" xr:uid="{ECCF2A4F-AC00-44BB-B8B5-695F64E8AD1D}">
      <text>
        <r>
          <rPr>
            <b/>
            <sz val="9"/>
            <color indexed="81"/>
            <rFont val="Tahoma"/>
            <family val="2"/>
          </rPr>
          <t>BD = Mejor dirección
La dirección le dice al sistema si un positivo
o valor negativo es una buena idea.
Ejemplo:
Más ingresos por ventas es una buena idea, por lo que la mejor dirección es "Arriba". La reducción de la tasa de abandono también es una buena idea, pero la mejor dirección de la flecha es 'Abajo'.</t>
        </r>
      </text>
    </comment>
    <comment ref="K12" authorId="0" shapeId="0" xr:uid="{A83C930A-A4C3-4D14-A728-BA1FA8302E43}">
      <text>
        <r>
          <rPr>
            <b/>
            <sz val="9"/>
            <color indexed="81"/>
            <rFont val="Tahoma"/>
            <family val="2"/>
          </rPr>
          <t>BD = Mejor dirección
La dirección le dice al sistema si un positivo
o valor negativo es una buena idea.
Ejemplo:
Más ingresos por ventas es una buena idea, por lo que la mejor dirección es "Arriba". La reducción de la tasa de abandono también es una buena idea, pero la mejor dirección de la flecha es 'Abajo'.</t>
        </r>
      </text>
    </comment>
    <comment ref="C27" authorId="0" shapeId="0" xr:uid="{4FF55906-9261-4FA8-B70E-1F19868E3BB6}">
      <text>
        <r>
          <rPr>
            <b/>
            <sz val="9"/>
            <color indexed="81"/>
            <rFont val="Tahoma"/>
            <family val="2"/>
          </rPr>
          <t>BD = Mejor dirección
La dirección le dice al sistema si un positivo
o valor negativo es una buena idea.
Ejemplo:
Más ingresos por ventas es una buena idea, por lo que la mejor dirección es "Arriba". La reducción de la tasa de abandono también es una buena idea, pero la mejor dirección de la flecha es 'Abajo'.</t>
        </r>
      </text>
    </comment>
    <comment ref="K27" authorId="0" shapeId="0" xr:uid="{DC062D5D-C97F-4271-AE23-6459B6D47D89}">
      <text>
        <r>
          <rPr>
            <b/>
            <sz val="9"/>
            <color indexed="81"/>
            <rFont val="Tahoma"/>
            <family val="2"/>
          </rPr>
          <t>BD = Mejor dirección
La dirección le dice al sistema si un positivo
o valor negativo es una buena idea.
Ejemplo:
Más ingresos por ventas es una buena idea, por lo que la mejor dirección es "Arriba". La reducción de la tasa de abandono también es una buena idea, pero la mejor dirección de la flecha es 'Abajo'.</t>
        </r>
      </text>
    </comment>
    <comment ref="C43" authorId="0" shapeId="0" xr:uid="{5488BC62-EC78-44A7-940B-62215C358E4D}">
      <text>
        <r>
          <rPr>
            <b/>
            <sz val="9"/>
            <color indexed="81"/>
            <rFont val="Tahoma"/>
            <family val="2"/>
          </rPr>
          <t>BD = Mejor dirección
La dirección le dice al sistema si un positivo
o valor negativo es una buena idea.
Ejemplo:
Más ingresos por ventas es una buena idea, por lo que la mejor dirección es "Arriba". La reducción de la tasa de abandono también es una buena idea, pero la mejor dirección de la flecha es 'Abajo'.</t>
        </r>
      </text>
    </comment>
    <comment ref="K43" authorId="0" shapeId="0" xr:uid="{B927AAF6-820A-45EC-A12B-67AAD23189BD}">
      <text>
        <r>
          <rPr>
            <b/>
            <sz val="9"/>
            <color indexed="81"/>
            <rFont val="Tahoma"/>
            <family val="2"/>
          </rPr>
          <t>BD = Mejor dirección
La dirección le dice al sistema si un positivo
o valor negativo es una buena idea.
Ejemplo:
Más ingresos por ventas es una buena idea, por lo que la mejor dirección es "Arriba". La reducción de la tasa de abandono también es una buena idea, pero la mejor dirección de la flecha es 'Abajo'.</t>
        </r>
      </text>
    </comment>
  </commentList>
</comments>
</file>

<file path=xl/sharedStrings.xml><?xml version="1.0" encoding="utf-8"?>
<sst xmlns="http://schemas.openxmlformats.org/spreadsheetml/2006/main" count="530" uniqueCount="360">
  <si>
    <t>English</t>
  </si>
  <si>
    <t>JAN</t>
  </si>
  <si>
    <t>Amount Spend</t>
  </si>
  <si>
    <t>Budget Remains</t>
  </si>
  <si>
    <t>% Budget Spend</t>
  </si>
  <si>
    <t>Month</t>
  </si>
  <si>
    <t>FEB</t>
  </si>
  <si>
    <t>MAR</t>
  </si>
  <si>
    <t>APR</t>
  </si>
  <si>
    <t>ABR</t>
  </si>
  <si>
    <t>JUN</t>
  </si>
  <si>
    <t>JUL</t>
  </si>
  <si>
    <t>AUG</t>
  </si>
  <si>
    <t>AGO</t>
  </si>
  <si>
    <t>SEP</t>
  </si>
  <si>
    <t>OCT</t>
  </si>
  <si>
    <t>NOV</t>
  </si>
  <si>
    <t>DEC</t>
  </si>
  <si>
    <t>January</t>
  </si>
  <si>
    <t>February</t>
  </si>
  <si>
    <t>March</t>
  </si>
  <si>
    <t>April</t>
  </si>
  <si>
    <t>Abril</t>
  </si>
  <si>
    <t>May</t>
  </si>
  <si>
    <t>June</t>
  </si>
  <si>
    <t>July</t>
  </si>
  <si>
    <t>August</t>
  </si>
  <si>
    <t>Agosto</t>
  </si>
  <si>
    <t>September</t>
  </si>
  <si>
    <t>October</t>
  </si>
  <si>
    <t>November</t>
  </si>
  <si>
    <t>December</t>
  </si>
  <si>
    <t>MonthComp</t>
  </si>
  <si>
    <t>MonthOrder</t>
  </si>
  <si>
    <t>MonthOrderComp</t>
  </si>
  <si>
    <t>Language</t>
  </si>
  <si>
    <t>Actual</t>
  </si>
  <si>
    <t>Total Expenses</t>
  </si>
  <si>
    <t>Mission</t>
  </si>
  <si>
    <t>Vision</t>
  </si>
  <si>
    <t>Values</t>
  </si>
  <si>
    <t>Year</t>
  </si>
  <si>
    <t>Start Month</t>
  </si>
  <si>
    <t>Company Name</t>
  </si>
  <si>
    <t>Select Language</t>
  </si>
  <si>
    <t>Company Slogan</t>
  </si>
  <si>
    <t>2.1. Strategy Statements</t>
  </si>
  <si>
    <t>1.3. Translations</t>
  </si>
  <si>
    <t>1.1. Strategic Areas</t>
  </si>
  <si>
    <t>Strategic Areas</t>
  </si>
  <si>
    <t>ID</t>
  </si>
  <si>
    <t>Goals</t>
  </si>
  <si>
    <t>Comments</t>
  </si>
  <si>
    <t>2.3. Objectives</t>
  </si>
  <si>
    <t>Objectives provide specific milestones with a specific timeline for achieving a goal.</t>
  </si>
  <si>
    <t>Objectives</t>
  </si>
  <si>
    <t>Associated Goal</t>
  </si>
  <si>
    <t>Target</t>
  </si>
  <si>
    <t>Best Direction</t>
  </si>
  <si>
    <t>Format</t>
  </si>
  <si>
    <t>Big picture of what you want to achieve.</t>
  </si>
  <si>
    <t>General statement of how you will achieve the vision.</t>
  </si>
  <si>
    <t>0%</t>
  </si>
  <si>
    <t>0,0%</t>
  </si>
  <si>
    <t>0</t>
  </si>
  <si>
    <t>0 $</t>
  </si>
  <si>
    <t>0 €</t>
  </si>
  <si>
    <t>£ 0</t>
  </si>
  <si>
    <t>R$ 0</t>
  </si>
  <si>
    <t>00:00:00</t>
  </si>
  <si>
    <t>0,0</t>
  </si>
  <si>
    <t>↑</t>
  </si>
  <si>
    <t>↓</t>
  </si>
  <si>
    <t>YTD</t>
  </si>
  <si>
    <t>FORMAT</t>
  </si>
  <si>
    <t>TOTAL</t>
  </si>
  <si>
    <t>2.2. Strategic Goals</t>
  </si>
  <si>
    <t>Choose your target rules for selecting color icons</t>
  </si>
  <si>
    <t>If value is</t>
  </si>
  <si>
    <t>If &gt;</t>
  </si>
  <si>
    <t>If &lt;</t>
  </si>
  <si>
    <t>Si &lt;</t>
  </si>
  <si>
    <t>And</t>
  </si>
  <si>
    <t>Expression</t>
  </si>
  <si>
    <t>Sum</t>
  </si>
  <si>
    <t>Average</t>
  </si>
  <si>
    <t>Function</t>
  </si>
  <si>
    <t>$0</t>
  </si>
  <si>
    <t>Objective</t>
  </si>
  <si>
    <t>Last Value</t>
  </si>
  <si>
    <t>Expressions</t>
  </si>
  <si>
    <t xml:space="preserve">Action Step </t>
  </si>
  <si>
    <t>Status</t>
  </si>
  <si>
    <t>Date to Begin</t>
  </si>
  <si>
    <t>Date Due</t>
  </si>
  <si>
    <t>Associated Objective</t>
  </si>
  <si>
    <t>% Progress</t>
  </si>
  <si>
    <t>Completed</t>
  </si>
  <si>
    <t>Overdue</t>
  </si>
  <si>
    <t>In progress</t>
  </si>
  <si>
    <t>Not Started</t>
  </si>
  <si>
    <t>Time to complete a task</t>
  </si>
  <si>
    <t>BD</t>
  </si>
  <si>
    <t>Objectives hit</t>
  </si>
  <si>
    <t>Objectives in danger</t>
  </si>
  <si>
    <t>Data Selected</t>
  </si>
  <si>
    <t>Last date</t>
  </si>
  <si>
    <t>Deadline</t>
  </si>
  <si>
    <t>Today</t>
  </si>
  <si>
    <t>Total</t>
  </si>
  <si>
    <t>Total Strategic Goals</t>
  </si>
  <si>
    <t>Goals Hit</t>
  </si>
  <si>
    <t>Goals in danger</t>
  </si>
  <si>
    <t>Objectives Count</t>
  </si>
  <si>
    <t>Goals Count</t>
  </si>
  <si>
    <t>•</t>
  </si>
  <si>
    <t>&gt; =</t>
  </si>
  <si>
    <t>Days to Deadline</t>
  </si>
  <si>
    <t>Total Objectives</t>
  </si>
  <si>
    <t>Trend</t>
  </si>
  <si>
    <t>Select</t>
  </si>
  <si>
    <t>Average ↑</t>
  </si>
  <si>
    <t>Average ↓</t>
  </si>
  <si>
    <t>●</t>
  </si>
  <si>
    <t>It is possible to register up to 6 goals.</t>
  </si>
  <si>
    <t>Total Average</t>
  </si>
  <si>
    <t>Total Actions</t>
  </si>
  <si>
    <t>Progress</t>
  </si>
  <si>
    <t>!</t>
  </si>
  <si>
    <t># Actions</t>
  </si>
  <si>
    <t>Average Progress</t>
  </si>
  <si>
    <t>KPI's</t>
  </si>
  <si>
    <t>Action Plan Progress</t>
  </si>
  <si>
    <t xml:space="preserve">  Choose your target rules for selecting icons</t>
  </si>
  <si>
    <t>Total Goals</t>
  </si>
  <si>
    <t>% Goals Hit</t>
  </si>
  <si>
    <t>Goals in Danger</t>
  </si>
  <si>
    <t>% Goals in Danger</t>
  </si>
  <si>
    <t>Objectives Hit</t>
  </si>
  <si>
    <t>% Objectives Hit</t>
  </si>
  <si>
    <t>Objectives in Danger</t>
  </si>
  <si>
    <t>% Objectives in Danger</t>
  </si>
  <si>
    <t>Hit</t>
  </si>
  <si>
    <t>In Danger</t>
  </si>
  <si>
    <t>3.1. Strategic Plan Report</t>
  </si>
  <si>
    <t>3.2. Actions Plan Report</t>
  </si>
  <si>
    <t># Total Actions</t>
  </si>
  <si>
    <t># Overdue Actions</t>
  </si>
  <si>
    <t>% Overdue Actions</t>
  </si>
  <si>
    <t>Action 1</t>
  </si>
  <si>
    <t>Action 2</t>
  </si>
  <si>
    <t>Action 3</t>
  </si>
  <si>
    <t>Action 4</t>
  </si>
  <si>
    <t>Action 5</t>
  </si>
  <si>
    <t>Action 6</t>
  </si>
  <si>
    <t>Strategic Goals</t>
  </si>
  <si>
    <t>Average Goals Achieved</t>
  </si>
  <si>
    <t>Best Direction = UP</t>
  </si>
  <si>
    <t>Best Direction = Down</t>
  </si>
  <si>
    <t>Actions by Status</t>
  </si>
  <si>
    <t>Actions by Goal and Status</t>
  </si>
  <si>
    <t>Progress of Actions by Goals</t>
  </si>
  <si>
    <t>Progress of Actions by Strategic Area</t>
  </si>
  <si>
    <t>STRATEGIC PLAN</t>
  </si>
  <si>
    <t>Status Progress</t>
  </si>
  <si>
    <t>Performance Summary</t>
  </si>
  <si>
    <t>1.2. Managers</t>
  </si>
  <si>
    <t>Managers</t>
  </si>
  <si>
    <t>Limit of 8 managers.</t>
  </si>
  <si>
    <t>Valores</t>
  </si>
  <si>
    <t>Objetivos</t>
  </si>
  <si>
    <t>Metas</t>
  </si>
  <si>
    <t>Formato</t>
  </si>
  <si>
    <t>Último valor</t>
  </si>
  <si>
    <t>FORMATO</t>
  </si>
  <si>
    <t>Meta</t>
  </si>
  <si>
    <t>Acumulado</t>
  </si>
  <si>
    <t>Gerentes</t>
  </si>
  <si>
    <t>MAY</t>
  </si>
  <si>
    <t>2.4. KPI Tracking</t>
  </si>
  <si>
    <t>2.5. Action Plan</t>
  </si>
  <si>
    <t>Average ↓ + 1</t>
  </si>
  <si>
    <t>Español</t>
  </si>
  <si>
    <t>1. SETTINGS</t>
  </si>
  <si>
    <t>2. STRATEGIC PLAN</t>
  </si>
  <si>
    <t>1. AJUSTES</t>
  </si>
  <si>
    <t>1.1. Áreas estratégicas</t>
  </si>
  <si>
    <t>Áreas estratégicas</t>
  </si>
  <si>
    <t>Elija sus reglas de destino para seleccionar iconos de color</t>
  </si>
  <si>
    <t>Si el valor es</t>
  </si>
  <si>
    <t>Si&gt;</t>
  </si>
  <si>
    <t>y</t>
  </si>
  <si>
    <t>KPI's | Indicadores</t>
  </si>
  <si>
    <t>Progreso del plan de acción</t>
  </si>
  <si>
    <t>1.2. Gerentes | Administradores</t>
  </si>
  <si>
    <t>-</t>
  </si>
  <si>
    <t>Mes de inicio</t>
  </si>
  <si>
    <t>Nombre de empresa</t>
  </si>
  <si>
    <t>Eslogan de la empresa</t>
  </si>
  <si>
    <t>Año</t>
  </si>
  <si>
    <t>2. PLAN ESTRATÉGICO</t>
  </si>
  <si>
    <t>2.1. Declaraciones de estrategia</t>
  </si>
  <si>
    <t>Misión</t>
  </si>
  <si>
    <t>Visión</t>
  </si>
  <si>
    <t>Panorama general de lo que desea lograr.</t>
  </si>
  <si>
    <t>Declaración general de cómo logrará la visión.</t>
  </si>
  <si>
    <t>Define the organization in terms of the principles and values the leaders will follow in carrying out the activities of the organization.</t>
  </si>
  <si>
    <t>Definir la organización en términos de los principios y valores que seguirán los líderes al llevar a cabo las actividades de la organización.</t>
  </si>
  <si>
    <t>2.2. Metas estratégicas</t>
  </si>
  <si>
    <t>Metas estratégicas</t>
  </si>
  <si>
    <t>Comentarios</t>
  </si>
  <si>
    <t>Solo es posible reagistrar hasta 6 objetivos.</t>
  </si>
  <si>
    <t>A goal is a general statement of what you want to achieve. More specifically, a goal is a milestone(s) in the process of implementing a strategy.</t>
  </si>
  <si>
    <t>Una meta es una declaración general de lo que desea lograr. Más específicamente, una meta es un hito (s) en el proceso de implementación de una estrategia.</t>
  </si>
  <si>
    <t>2.3. Objetivos</t>
  </si>
  <si>
    <t>Los objetivos proporcionan hitos específicos con un cronograma específico para lograr una meta.</t>
  </si>
  <si>
    <t>Objetivo asociado</t>
  </si>
  <si>
    <t>Mejor dirección</t>
  </si>
  <si>
    <t>Función</t>
  </si>
  <si>
    <t>Suma</t>
  </si>
  <si>
    <t>Promedio</t>
  </si>
  <si>
    <t>Tendencia</t>
  </si>
  <si>
    <t>2.4. Seguimiento de KPI´s</t>
  </si>
  <si>
    <t>Objetivo</t>
  </si>
  <si>
    <t>Expresiones</t>
  </si>
  <si>
    <t>2.5. Plan de acción</t>
  </si>
  <si>
    <t>Paso de acción</t>
  </si>
  <si>
    <t>Límite de 8 gerentes.</t>
  </si>
  <si>
    <t>Fecha de inicio</t>
  </si>
  <si>
    <t>Fecha de vencimiento</t>
  </si>
  <si>
    <t>% Progreso</t>
  </si>
  <si>
    <t>Concluido</t>
  </si>
  <si>
    <t>En progreso</t>
  </si>
  <si>
    <t>Atrasado</t>
  </si>
  <si>
    <t>No iniciado</t>
  </si>
  <si>
    <t>Hora de completar una tarea</t>
  </si>
  <si>
    <t>Seleccione</t>
  </si>
  <si>
    <t>Promedio ↑</t>
  </si>
  <si>
    <t>Promedio ↓</t>
  </si>
  <si>
    <t>Gastos totales</t>
  </si>
  <si>
    <t>Monto gastado</t>
  </si>
  <si>
    <t>Presupuesto restante</t>
  </si>
  <si>
    <t>% de presupuesto gastado</t>
  </si>
  <si>
    <t>3.1. Informe Plan Estratégico</t>
  </si>
  <si>
    <t>3.2. Informe Plan de Acción</t>
  </si>
  <si>
    <t>Días hasta la fecha límite</t>
  </si>
  <si>
    <t>Objetivos alcanzados</t>
  </si>
  <si>
    <t>% Objetivos alcanzados</t>
  </si>
  <si>
    <t>Metas alcanzados</t>
  </si>
  <si>
    <t>Objetivos en peligro</t>
  </si>
  <si>
    <t>% Objetivos en peligro</t>
  </si>
  <si>
    <t>Total Metas</t>
  </si>
  <si>
    <t>% de metas alcanzadas</t>
  </si>
  <si>
    <t>Metas en peligro</t>
  </si>
  <si>
    <t>% Metas en peligro</t>
  </si>
  <si>
    <t>Promedio Metas alcanzadas</t>
  </si>
  <si>
    <t>Mejor dirección = Abajo</t>
  </si>
  <si>
    <t>Mejor dirección = Arriba</t>
  </si>
  <si>
    <t>Alcanzado</t>
  </si>
  <si>
    <t>En peligro</t>
  </si>
  <si>
    <t xml:space="preserve"># Total Acciones </t>
  </si>
  <si>
    <t>Progreso promedio</t>
  </si>
  <si>
    <t># Acciones vencidas</t>
  </si>
  <si>
    <t>% Acciones atrasadas</t>
  </si>
  <si>
    <t>Acciones por status</t>
  </si>
  <si>
    <t>Acciones por objetivo y status</t>
  </si>
  <si>
    <t>Progreso de las acciones por metas</t>
  </si>
  <si>
    <t>Avances de acciones por área estratégica</t>
  </si>
  <si>
    <t># Acciones</t>
  </si>
  <si>
    <t>Progreso</t>
  </si>
  <si>
    <t>Resumen de desempeño</t>
  </si>
  <si>
    <t>PLAN ESTRATÉGICO</t>
  </si>
  <si>
    <t>Mes</t>
  </si>
  <si>
    <t>ENE</t>
  </si>
  <si>
    <t>DIC</t>
  </si>
  <si>
    <t>Eneero</t>
  </si>
  <si>
    <t>Febrero</t>
  </si>
  <si>
    <t>Marzo</t>
  </si>
  <si>
    <t>Mayo</t>
  </si>
  <si>
    <t>Junio</t>
  </si>
  <si>
    <t>Julio</t>
  </si>
  <si>
    <t>Septiembre</t>
  </si>
  <si>
    <t>Octubre</t>
  </si>
  <si>
    <t>Noviembre</t>
  </si>
  <si>
    <t>Diciembre</t>
  </si>
  <si>
    <t>Goal 1</t>
  </si>
  <si>
    <t>Goal 2</t>
  </si>
  <si>
    <t>Goal 3</t>
  </si>
  <si>
    <t>Goal 4</t>
  </si>
  <si>
    <t>Goal 5</t>
  </si>
  <si>
    <t>Goal 6</t>
  </si>
  <si>
    <t>Meta 1</t>
  </si>
  <si>
    <t>Meta 2</t>
  </si>
  <si>
    <t>Meta 3</t>
  </si>
  <si>
    <t>Meta 4</t>
  </si>
  <si>
    <t>Meta 5</t>
  </si>
  <si>
    <t>Meta 6</t>
  </si>
  <si>
    <t>3. REPORTS</t>
  </si>
  <si>
    <t>3. REPORTES</t>
  </si>
  <si>
    <t>4. DASHBOARDS</t>
  </si>
  <si>
    <t>4.1. Strategic Plan Dashboard</t>
  </si>
  <si>
    <t>4.1. Dashboard Plan Estratégico</t>
  </si>
  <si>
    <t>4.2. Actions Plan Dashboard</t>
  </si>
  <si>
    <t>4.3. Actions Dashboard</t>
  </si>
  <si>
    <t>4.2. Dashboard Plan de Acción</t>
  </si>
  <si>
    <t>4.3. Dashboard Acciones</t>
  </si>
  <si>
    <t>Colaborador 1</t>
  </si>
  <si>
    <t>Colaborador 2</t>
  </si>
  <si>
    <t>Acción 1</t>
  </si>
  <si>
    <t>Accion 2</t>
  </si>
  <si>
    <t xml:space="preserve"> </t>
  </si>
  <si>
    <t>←</t>
  </si>
  <si>
    <t>4.3. Presentation</t>
  </si>
  <si>
    <t>4.3. Presentación P. E.</t>
  </si>
  <si>
    <t>You can also structure your strategic plan by department, initiatives or themes. Limit of 8 areas.</t>
  </si>
  <si>
    <t>También puede estructurar su plan estratégico por departamento, iniciativas o temas. Límite de 8 áreas.</t>
  </si>
  <si>
    <t>Objetivo 2 - Meta 4</t>
  </si>
  <si>
    <t>Objetivo 2 - Meta 5</t>
  </si>
  <si>
    <t>Objetivo 2 - Meta 6</t>
  </si>
  <si>
    <t>Objetivo 1 - Meta 4</t>
  </si>
  <si>
    <t>Objetivo 1 - Meta 5</t>
  </si>
  <si>
    <t>Objetivo 1 - Meta 6</t>
  </si>
  <si>
    <t>PLAN ESTRATÉGICO | 2025</t>
  </si>
  <si>
    <t>Caracolitos, S.A. de C.V.</t>
  </si>
  <si>
    <t>Niños siempre sonrientes</t>
  </si>
  <si>
    <t>Para el año 2035, Caracolitos, S.A. de C.V. será reconocida a nivel nacional como la marca líder en productos artesanales derivados de la fresa y artículos turísticos representativos de Irapuato, contando con 10 sucursales en las principales ciudades del país, presencia en plataformas de e-commerce, certificaciones de calidad e inocuidad alimentaria, y una cultura organizacional basada en la innovación, la sostenibilidad y el orgullo local.</t>
  </si>
  <si>
    <r>
      <rPr>
        <b/>
        <sz val="11"/>
        <color theme="1"/>
        <rFont val="CALIBRI"/>
        <family val="2"/>
      </rPr>
      <t>1. Orden y limpieza</t>
    </r>
    <r>
      <rPr>
        <sz val="11"/>
        <color theme="1"/>
        <rFont val="CALIBRI"/>
        <family val="2"/>
      </rPr>
      <t xml:space="preserve">
Conducta observable:
Cada colaborador mantiene su área de trabajo limpia, organizada y libre de desorden al iniciar, durante y al finalizar su jornada, respetando los protocolos de higiene establecidos.
</t>
    </r>
    <r>
      <rPr>
        <b/>
        <sz val="11"/>
        <color theme="1"/>
        <rFont val="CALIBRI"/>
        <family val="2"/>
      </rPr>
      <t>2. Transparencia</t>
    </r>
    <r>
      <rPr>
        <sz val="11"/>
        <color theme="1"/>
        <rFont val="CALIBRI"/>
        <family val="2"/>
      </rPr>
      <t xml:space="preserve">
Conducta observable:
El personal comunica de manera clara, honesta y sin ocultar información relevante, ya sea con clientes, compañeros o supervisores, reportando errores o situaciones anómalas de inmediato.
</t>
    </r>
    <r>
      <rPr>
        <b/>
        <sz val="11"/>
        <color theme="1"/>
        <rFont val="CALIBRI"/>
        <family val="2"/>
      </rPr>
      <t>3. Responsabilidad</t>
    </r>
    <r>
      <rPr>
        <sz val="11"/>
        <color theme="1"/>
        <rFont val="CALIBRI"/>
        <family val="2"/>
      </rPr>
      <t xml:space="preserve">
Conducta observable:
Cada persona cumple puntualmente con sus funciones, entrega resultados en tiempo y forma, y asume las consecuencias de sus decisiones sin evadir compromisos.
4. Respeto
Conducta observable:
Se escucha a los demás con atención, se evita el uso de lenguaje ofensivo, se reconocen los puntos de vista distintos y se mantiene un trato cortés con todos, sin importar jerarquía o área.
</t>
    </r>
    <r>
      <rPr>
        <b/>
        <sz val="11"/>
        <color theme="1"/>
        <rFont val="CALIBRI"/>
        <family val="2"/>
      </rPr>
      <t>5. Calidad en el servicio</t>
    </r>
    <r>
      <rPr>
        <sz val="11"/>
        <color theme="1"/>
        <rFont val="CALIBRI"/>
        <family val="2"/>
      </rPr>
      <t xml:space="preserve">
Conducta observable:
El personal brinda atención amable, resuelve dudas con disposición, cuida la presentación del producto y busca siempre superar las expectativas del cliente, actuando con empatía y cortesía.</t>
    </r>
  </si>
  <si>
    <t>Somos una empresa orgullosamente irapuatense dedicada a la elaboración de fresa cristalizada y productos artesanales derivados de la fresa, así como artículos turísticos representativos de nuestra ciudad. Nos comprometemos a ofrecer experiencias únicas a nuestros clientes, promoviendo la calidad, el sabor local y la identidad cultural, mediante procesos responsables, talento humano comprometido e innovación constante.</t>
  </si>
  <si>
    <t>Administración</t>
  </si>
  <si>
    <t>Dirección/Gerencia General (Alta Dirección)</t>
  </si>
  <si>
    <t>Operaciones / Producción</t>
  </si>
  <si>
    <t>Recursos Humanos</t>
  </si>
  <si>
    <t>Comercialización (Marketing y Ventas)</t>
  </si>
  <si>
    <t>Tecnología / Sistemas / Innovación</t>
  </si>
  <si>
    <t>Expandir la presencia nacional de Caracolitos mediante la apertura de nuevas sucursales.</t>
  </si>
  <si>
    <t>Mejorar la productividad de los procesos operativos en planta.</t>
  </si>
  <si>
    <t>Fortalecer el posicionamiento de la marca Caracolitos a nivel nacional.</t>
  </si>
  <si>
    <t>Asegurar la calidad e inocuidad de los productos en todos los procesos de la planta.</t>
  </si>
  <si>
    <t>Incrementar las ventas a través de plataformas digitales.</t>
  </si>
  <si>
    <t>Desarrollar y fidelizar al talento humano de la empresa.</t>
  </si>
  <si>
    <t>Abrir 2 nuevas sucursales en ciudades turísticas del país antes de julio de 2026.</t>
  </si>
  <si>
    <t>Reducir en 15% los tiempos de producción promedio por lote para diciembre 2025.</t>
  </si>
  <si>
    <t>Incrementar en 30% el reconocimiento de marca en redes sociales antes de junio de 2026.</t>
  </si>
  <si>
    <t>Lograr que 60% de los visitantes recomienden nuestros productos en encuestas de salida para diciembre de 2025.</t>
  </si>
  <si>
    <t>Obtener la certificación de Buenas Prácticas de Manufactura antes de noviembre de 2026.</t>
  </si>
  <si>
    <t>Reducir en 50% las devoluciones por defectos en producto para diciembre de 2025.</t>
  </si>
  <si>
    <t>Lanzar una tienda en línea funcional antes de marzo de 2026.</t>
  </si>
  <si>
    <t>Generar $1,000,000 MXN en ventas digitales acumuladas para diciembre de 2026.</t>
  </si>
  <si>
    <t>Implementar un plan anual de capacitación para todos los colaboradores antes de enero de 2026.</t>
  </si>
  <si>
    <t>Lograr que el 80% del personal operativo participe en al menos una capacitación al año.</t>
  </si>
  <si>
    <t>Definir ubicación y condiciones de arrendamiento para las nuevas sucursales.</t>
  </si>
  <si>
    <t>Juan Pérez. Dirección/Gerencia General (Alta Dirección)</t>
  </si>
  <si>
    <t>María López. Administración</t>
  </si>
  <si>
    <t>Héctor Márquez. Operaciones / Producción</t>
  </si>
  <si>
    <t>Guadalupe Vázquez. Comercialización (Marketing y Ventas)</t>
  </si>
  <si>
    <t>José Ramírez. Recursos Humanos</t>
  </si>
  <si>
    <t>Luisa García. Tecnología / Sistemas / Innovación</t>
  </si>
  <si>
    <t>Capacitar al personal en metodología 5S y mejora continua.</t>
  </si>
  <si>
    <t>Monitorear el crecimiento de seguidores, menciones y engagement mensualmente.</t>
  </si>
  <si>
    <t>Capacitar al personal de ventas en atención al cliente y resolución de quejas.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</si>
</sst>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64" formatCode="_ * #,##0.00_)_ ;_ * \(#,##0.00\)_ ;_ * &quot;-&quot;??_)_ ;_ @_ "/>
    <numFmt numFmtId="165" formatCode="0.0%"/>
  </numFmts>
  <fonts count="99">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tint="0.249977111117893"/>
      <name val="Calibri"/>
      <family val="2"/>
      <scheme val="minor"/>
    </font>
    <font>
      <u/>
      <sz val="11"/>
      <color theme="10"/>
      <name val="Calibri"/>
      <family val="2"/>
      <scheme val="minor"/>
    </font>
    <font>
      <sz val="16"/>
      <color theme="1"/>
      <name val="CALIBRI"/>
      <family val="2"/>
    </font>
    <font>
      <b/>
      <sz val="11"/>
      <color theme="1"/>
      <name val="Calibri"/>
      <family val="2"/>
      <scheme val="minor"/>
    </font>
    <font>
      <sz val="11"/>
      <color theme="0"/>
      <name val="Calibri"/>
      <family val="2"/>
      <scheme val="minor"/>
    </font>
    <font>
      <sz val="16"/>
      <color theme="1" tint="0.249977111117893"/>
      <name val="Calibri"/>
      <family val="2"/>
      <scheme val="minor"/>
    </font>
    <font>
      <sz val="11"/>
      <color theme="1" tint="0.249977111117893"/>
      <name val="CALIBRI"/>
      <family val="2"/>
    </font>
    <font>
      <sz val="9"/>
      <color theme="1" tint="0.499984740745262"/>
      <name val="Calibri"/>
      <family val="2"/>
      <scheme val="minor"/>
    </font>
    <font>
      <sz val="10"/>
      <color theme="1"/>
      <name val="CALIBRI"/>
      <family val="2"/>
    </font>
    <font>
      <sz val="10"/>
      <color theme="1"/>
      <name val="Calibri"/>
      <family val="2"/>
      <scheme val="minor"/>
    </font>
    <font>
      <sz val="10"/>
      <color theme="1" tint="0.249977111117893"/>
      <name val="Calibri"/>
      <family val="2"/>
      <scheme val="minor"/>
    </font>
    <font>
      <b/>
      <sz val="10"/>
      <color theme="1"/>
      <name val="Calibri"/>
      <family val="2"/>
      <scheme val="minor"/>
    </font>
    <font>
      <sz val="11"/>
      <color theme="1"/>
      <name val="CALIBRI"/>
      <family val="2"/>
    </font>
    <font>
      <sz val="11"/>
      <color theme="1" tint="0.499984740745262"/>
      <name val="CALIBRI"/>
      <family val="2"/>
    </font>
    <font>
      <b/>
      <sz val="11"/>
      <color theme="1"/>
      <name val="CALIBRI"/>
      <family val="2"/>
    </font>
    <font>
      <sz val="11"/>
      <color theme="1" tint="0.499984740745262"/>
      <name val="Calibri"/>
      <family val="2"/>
      <scheme val="minor"/>
    </font>
    <font>
      <sz val="8"/>
      <name val="CALIBRI"/>
      <family val="2"/>
    </font>
    <font>
      <sz val="10"/>
      <color theme="1" tint="0.34998626667073579"/>
      <name val="CALIBRI"/>
      <family val="2"/>
    </font>
    <font>
      <sz val="12"/>
      <color theme="1" tint="0.34998626667073579"/>
      <name val="CALIBRI"/>
      <family val="2"/>
    </font>
    <font>
      <sz val="10"/>
      <color theme="1" tint="0.499984740745262"/>
      <name val="CALIBRI"/>
      <family val="2"/>
    </font>
    <font>
      <b/>
      <sz val="11"/>
      <color theme="1" tint="0.249977111117893"/>
      <name val="CALIBRI"/>
      <family val="2"/>
    </font>
    <font>
      <sz val="36"/>
      <color rgb="FF01B1A3"/>
      <name val="CALIBRI"/>
      <family val="2"/>
    </font>
    <font>
      <sz val="36"/>
      <color rgb="FFFB5A56"/>
      <name val="CALIBRI"/>
      <family val="2"/>
    </font>
    <font>
      <sz val="36"/>
      <color theme="1" tint="0.249977111117893"/>
      <name val="CALIBRI"/>
      <family val="2"/>
    </font>
    <font>
      <sz val="10"/>
      <color theme="1" tint="0.249977111117893"/>
      <name val="CALIBRI"/>
      <family val="2"/>
    </font>
    <font>
      <sz val="11"/>
      <color theme="0"/>
      <name val="CALIBRI"/>
      <family val="2"/>
    </font>
    <font>
      <sz val="14"/>
      <color theme="1"/>
      <name val="CALIBRI"/>
      <family val="2"/>
    </font>
    <font>
      <sz val="24"/>
      <color theme="1" tint="0.249977111117893"/>
      <name val="CALIBRI"/>
      <family val="2"/>
    </font>
    <font>
      <sz val="11"/>
      <color theme="0" tint="-4.9989318521683403E-2"/>
      <name val="CALIBRI"/>
      <family val="2"/>
    </font>
    <font>
      <sz val="24"/>
      <color theme="1"/>
      <name val="CALIBRI"/>
      <family val="2"/>
    </font>
    <font>
      <sz val="9"/>
      <color rgb="FFFF0000"/>
      <name val="Calibri"/>
      <family val="2"/>
      <scheme val="minor"/>
    </font>
    <font>
      <sz val="9"/>
      <color indexed="81"/>
      <name val="Tahoma"/>
      <family val="2"/>
    </font>
    <font>
      <b/>
      <sz val="9"/>
      <color indexed="81"/>
      <name val="Tahoma"/>
      <family val="2"/>
    </font>
    <font>
      <sz val="11"/>
      <color rgb="FFFF0000"/>
      <name val="CALIBRI"/>
      <family val="2"/>
    </font>
    <font>
      <sz val="36"/>
      <color rgb="FFF2C80F"/>
      <name val="CALIBRI"/>
      <family val="2"/>
    </font>
    <font>
      <b/>
      <sz val="11"/>
      <color rgb="FFFF0000"/>
      <name val="CALIBRI"/>
      <family val="2"/>
    </font>
    <font>
      <sz val="11"/>
      <color rgb="FFF7F7F7"/>
      <name val="CALIBRI"/>
      <family val="2"/>
    </font>
    <font>
      <sz val="48"/>
      <color theme="1" tint="0.249977111117893"/>
      <name val="CALIBRI"/>
      <family val="2"/>
    </font>
    <font>
      <sz val="48"/>
      <color theme="1" tint="0.34998626667073579"/>
      <name val="CALIBRI"/>
      <family val="2"/>
    </font>
    <font>
      <sz val="32"/>
      <color theme="1" tint="0.34998626667073579"/>
      <name val="CALIBRI"/>
      <family val="2"/>
    </font>
    <font>
      <sz val="32"/>
      <color theme="1" tint="0.249977111117893"/>
      <name val="CALIBRI"/>
      <family val="2"/>
    </font>
    <font>
      <sz val="18"/>
      <color theme="0"/>
      <name val="CALIBRI"/>
      <family val="2"/>
    </font>
    <font>
      <sz val="36"/>
      <color theme="0"/>
      <name val="CALIBRI"/>
      <family val="2"/>
    </font>
    <font>
      <sz val="28"/>
      <color theme="1"/>
      <name val="CALIBRI"/>
      <family val="2"/>
    </font>
    <font>
      <sz val="11"/>
      <color theme="1" tint="0.34998626667073579"/>
      <name val="CALIBRI"/>
      <family val="2"/>
    </font>
    <font>
      <sz val="12"/>
      <color theme="1" tint="0.249977111117893"/>
      <name val="CALIBRI"/>
      <family val="2"/>
    </font>
    <font>
      <b/>
      <sz val="12"/>
      <color theme="1" tint="0.249977111117893"/>
      <name val="CALIBRI"/>
      <family val="2"/>
    </font>
    <font>
      <b/>
      <sz val="11"/>
      <color theme="1" tint="0.34998626667073579"/>
      <name val="CALIBRI"/>
      <family val="2"/>
    </font>
    <font>
      <sz val="12"/>
      <color theme="1"/>
      <name val="CALIBRI"/>
      <family val="2"/>
    </font>
    <font>
      <sz val="22"/>
      <color theme="1"/>
      <name val="Calibri"/>
      <family val="2"/>
      <scheme val="minor"/>
    </font>
    <font>
      <sz val="20"/>
      <color theme="1"/>
      <name val="CALIBRI"/>
      <family val="2"/>
    </font>
    <font>
      <b/>
      <sz val="10"/>
      <color theme="1"/>
      <name val="Berlin Sans FB Demi"/>
      <family val="2"/>
    </font>
    <font>
      <sz val="10"/>
      <color theme="1" tint="4.9989318521683403E-2"/>
      <name val="CALIBRI"/>
      <family val="2"/>
    </font>
    <font>
      <i/>
      <sz val="11"/>
      <color theme="1" tint="4.9989318521683403E-2"/>
      <name val="CALIBRI"/>
      <family val="2"/>
    </font>
    <font>
      <sz val="11"/>
      <color theme="1" tint="4.9989318521683403E-2"/>
      <name val="CALIBRI"/>
      <family val="2"/>
    </font>
    <font>
      <sz val="11"/>
      <color rgb="FFFF0000"/>
      <name val="Calibri"/>
      <family val="2"/>
      <scheme val="minor"/>
    </font>
    <font>
      <b/>
      <sz val="11"/>
      <color theme="0"/>
      <name val="Calibri"/>
      <family val="2"/>
      <scheme val="minor"/>
    </font>
    <font>
      <sz val="8"/>
      <color rgb="FFFF0000"/>
      <name val="Calibri"/>
      <family val="2"/>
      <scheme val="minor"/>
    </font>
    <font>
      <b/>
      <sz val="16"/>
      <color theme="1" tint="0.249977111117893"/>
      <name val="Calibri"/>
      <family val="2"/>
      <scheme val="minor"/>
    </font>
    <font>
      <b/>
      <sz val="18"/>
      <color theme="1" tint="0.249977111117893"/>
      <name val="Calibri"/>
      <family val="2"/>
      <scheme val="minor"/>
    </font>
    <font>
      <b/>
      <sz val="18"/>
      <color theme="1"/>
      <name val="Calibri"/>
      <family val="2"/>
      <scheme val="minor"/>
    </font>
    <font>
      <b/>
      <sz val="14"/>
      <color theme="0"/>
      <name val="Calibri"/>
      <family val="2"/>
      <scheme val="minor"/>
    </font>
    <font>
      <b/>
      <sz val="16"/>
      <color theme="1"/>
      <name val="CALIBRI"/>
      <family val="2"/>
    </font>
    <font>
      <sz val="8"/>
      <color theme="1" tint="0.499984740745262"/>
      <name val="Calibri"/>
      <family val="2"/>
      <scheme val="minor"/>
    </font>
    <font>
      <b/>
      <sz val="10"/>
      <color theme="0"/>
      <name val="Calibri"/>
      <family val="2"/>
      <scheme val="minor"/>
    </font>
    <font>
      <b/>
      <sz val="12"/>
      <color theme="0"/>
      <name val="Calibri"/>
      <family val="2"/>
      <scheme val="minor"/>
    </font>
    <font>
      <sz val="10"/>
      <color theme="0"/>
      <name val="CALIBRI"/>
      <family val="2"/>
    </font>
    <font>
      <b/>
      <sz val="11"/>
      <color theme="0"/>
      <name val="CALIBRI"/>
      <family val="2"/>
    </font>
    <font>
      <b/>
      <sz val="12"/>
      <color theme="0"/>
      <name val="CALIBRI"/>
      <family val="2"/>
    </font>
    <font>
      <b/>
      <sz val="10"/>
      <color theme="0"/>
      <name val="CALIBRI"/>
      <family val="2"/>
    </font>
    <font>
      <b/>
      <sz val="18"/>
      <color theme="1"/>
      <name val="CALIBRI"/>
      <family val="2"/>
    </font>
    <font>
      <b/>
      <sz val="14"/>
      <color theme="0"/>
      <name val="CALIBRI"/>
      <family val="2"/>
    </font>
    <font>
      <b/>
      <sz val="11"/>
      <color theme="0" tint="-4.9989318521683403E-2"/>
      <name val="Calibri"/>
      <family val="2"/>
    </font>
    <font>
      <b/>
      <sz val="11"/>
      <color rgb="FFDE7370"/>
      <name val="CALIBRI"/>
      <family val="2"/>
    </font>
    <font>
      <b/>
      <sz val="12"/>
      <color theme="1"/>
      <name val="Calibri"/>
      <family val="2"/>
      <scheme val="minor"/>
    </font>
    <font>
      <b/>
      <sz val="12"/>
      <color rgb="FF01B1A3"/>
      <name val="Calibri"/>
      <family val="2"/>
    </font>
    <font>
      <b/>
      <sz val="12"/>
      <color theme="1"/>
      <name val="Calibri"/>
      <family val="2"/>
    </font>
    <font>
      <b/>
      <sz val="9"/>
      <color theme="0"/>
      <name val="CALIBRI"/>
      <family val="2"/>
    </font>
    <font>
      <b/>
      <sz val="28"/>
      <color rgb="FF2B353E"/>
      <name val="CALIBRI"/>
      <family val="2"/>
    </font>
    <font>
      <b/>
      <sz val="9"/>
      <color theme="0"/>
      <name val="Calibri"/>
      <family val="2"/>
      <scheme val="minor"/>
    </font>
    <font>
      <sz val="12"/>
      <color theme="1"/>
      <name val="Calibri"/>
      <family val="2"/>
      <scheme val="minor"/>
    </font>
    <font>
      <b/>
      <sz val="12"/>
      <color theme="1" tint="0.499984740745262"/>
      <name val="Calibri"/>
      <family val="2"/>
    </font>
    <font>
      <sz val="8"/>
      <color theme="1"/>
      <name val="CALIBRI"/>
      <family val="2"/>
    </font>
    <font>
      <u/>
      <sz val="11"/>
      <color theme="1"/>
      <name val="CALIBRI"/>
      <family val="2"/>
    </font>
  </fonts>
  <fills count="12">
    <fill>
      <patternFill patternType="none"/>
    </fill>
    <fill>
      <patternFill patternType="gray125"/>
    </fill>
    <fill>
      <patternFill patternType="solid">
        <fgColor theme="0" tint="-4.9989318521683403E-2"/>
        <bgColor indexed="64"/>
      </patternFill>
    </fill>
    <fill>
      <patternFill patternType="solid">
        <fgColor rgb="FF2B353E"/>
        <bgColor indexed="64"/>
      </patternFill>
    </fill>
    <fill>
      <patternFill patternType="solid">
        <fgColor theme="0" tint="-0.14999847407452621"/>
        <bgColor indexed="64"/>
      </patternFill>
    </fill>
    <fill>
      <patternFill patternType="solid">
        <fgColor theme="0"/>
        <bgColor indexed="64"/>
      </patternFill>
    </fill>
    <fill>
      <patternFill patternType="solid">
        <fgColor rgb="FFF7F7F7"/>
        <bgColor indexed="64"/>
      </patternFill>
    </fill>
    <fill>
      <patternFill patternType="solid">
        <fgColor rgb="FFE38785"/>
        <bgColor indexed="64"/>
      </patternFill>
    </fill>
    <fill>
      <patternFill patternType="solid">
        <fgColor rgb="FF072146"/>
        <bgColor indexed="64"/>
      </patternFill>
    </fill>
    <fill>
      <patternFill patternType="solid">
        <fgColor theme="1"/>
        <bgColor indexed="64"/>
      </patternFill>
    </fill>
    <fill>
      <patternFill patternType="solid">
        <fgColor rgb="FF01B1A3"/>
        <bgColor indexed="64"/>
      </patternFill>
    </fill>
    <fill>
      <patternFill patternType="solid">
        <fgColor theme="3" tint="-0.249977111117893"/>
        <bgColor indexed="64"/>
      </patternFill>
    </fill>
  </fills>
  <borders count="109">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style="thin">
        <color theme="0" tint="-0.14996795556505021"/>
      </top>
      <bottom style="medium">
        <color rgb="FF01B1A3"/>
      </bottom>
      <diagonal/>
    </border>
    <border>
      <left style="thin">
        <color theme="0" tint="-0.14993743705557422"/>
      </left>
      <right style="thin">
        <color theme="0" tint="-0.14993743705557422"/>
      </right>
      <top style="medium">
        <color rgb="FF01B1A3"/>
      </top>
      <bottom/>
      <diagonal/>
    </border>
    <border>
      <left style="thin">
        <color theme="0" tint="-0.14993743705557422"/>
      </left>
      <right style="thin">
        <color theme="0" tint="-0.14993743705557422"/>
      </right>
      <top/>
      <bottom style="thin">
        <color theme="0" tint="-0.14990691854609822"/>
      </bottom>
      <diagonal/>
    </border>
    <border>
      <left style="thin">
        <color theme="0" tint="-0.14993743705557422"/>
      </left>
      <right style="thin">
        <color theme="0" tint="-0.14993743705557422"/>
      </right>
      <top style="thin">
        <color theme="0" tint="-0.14990691854609822"/>
      </top>
      <bottom/>
      <diagonal/>
    </border>
    <border>
      <left/>
      <right/>
      <top/>
      <bottom style="medium">
        <color rgb="FF01B1A3"/>
      </bottom>
      <diagonal/>
    </border>
    <border>
      <left/>
      <right/>
      <top style="medium">
        <color rgb="FF01B1A3"/>
      </top>
      <bottom/>
      <diagonal/>
    </border>
    <border>
      <left style="medium">
        <color theme="0"/>
      </left>
      <right style="medium">
        <color theme="0"/>
      </right>
      <top/>
      <bottom style="medium">
        <color theme="0"/>
      </bottom>
      <diagonal/>
    </border>
    <border>
      <left/>
      <right/>
      <top style="medium">
        <color rgb="FF01B1A3"/>
      </top>
      <bottom style="thin">
        <color theme="0" tint="-0.14996795556505021"/>
      </bottom>
      <diagonal/>
    </border>
    <border>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medium">
        <color rgb="FF01B1A3"/>
      </top>
      <bottom style="thin">
        <color theme="0" tint="-0.14996795556505021"/>
      </bottom>
      <diagonal/>
    </border>
    <border>
      <left/>
      <right style="thin">
        <color theme="0" tint="-0.14996795556505021"/>
      </right>
      <top style="medium">
        <color rgb="FF01B1A3"/>
      </top>
      <bottom style="thin">
        <color theme="0" tint="-0.14996795556505021"/>
      </bottom>
      <diagonal/>
    </border>
    <border>
      <left style="medium">
        <color theme="0"/>
      </left>
      <right/>
      <top/>
      <bottom style="medium">
        <color theme="0"/>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style="medium">
        <color rgb="FF01B1A3"/>
      </top>
      <bottom/>
      <diagonal/>
    </border>
    <border>
      <left/>
      <right/>
      <top style="medium">
        <color theme="0"/>
      </top>
      <bottom style="medium">
        <color rgb="FF01B1A3"/>
      </bottom>
      <diagonal/>
    </border>
    <border>
      <left style="thin">
        <color theme="0" tint="-0.14996795556505021"/>
      </left>
      <right/>
      <top style="medium">
        <color rgb="FF01B1A3"/>
      </top>
      <bottom style="thin">
        <color theme="0" tint="-0.14993743705557422"/>
      </bottom>
      <diagonal/>
    </border>
    <border>
      <left/>
      <right style="thin">
        <color theme="0" tint="-0.14996795556505021"/>
      </right>
      <top style="medium">
        <color rgb="FF01B1A3"/>
      </top>
      <bottom style="thin">
        <color theme="0" tint="-0.14993743705557422"/>
      </bottom>
      <diagonal/>
    </border>
    <border>
      <left style="thin">
        <color theme="0" tint="-0.14996795556505021"/>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6795556505021"/>
      </left>
      <right/>
      <top style="medium">
        <color rgb="FF01B1A3"/>
      </top>
      <bottom/>
      <diagonal/>
    </border>
    <border>
      <left/>
      <right style="thin">
        <color theme="0" tint="-0.14996795556505021"/>
      </right>
      <top style="medium">
        <color rgb="FF01B1A3"/>
      </top>
      <bottom/>
      <diagonal/>
    </border>
    <border>
      <left style="thin">
        <color theme="0" tint="-0.14996795556505021"/>
      </left>
      <right style="thin">
        <color theme="0" tint="-0.14996795556505021"/>
      </right>
      <top style="medium">
        <color rgb="FF01B1A3"/>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right style="thin">
        <color theme="0" tint="-0.14996795556505021"/>
      </right>
      <top/>
      <bottom style="medium">
        <color rgb="FF01B1A3"/>
      </bottom>
      <diagonal/>
    </border>
    <border>
      <left style="thin">
        <color theme="0" tint="-0.14996795556505021"/>
      </left>
      <right style="thin">
        <color theme="0" tint="-0.14996795556505021"/>
      </right>
      <top/>
      <bottom style="medium">
        <color rgb="FF01B1A3"/>
      </bottom>
      <diagonal/>
    </border>
    <border>
      <left/>
      <right style="medium">
        <color theme="0"/>
      </right>
      <top/>
      <bottom style="medium">
        <color theme="0"/>
      </bottom>
      <diagonal/>
    </border>
    <border>
      <left style="thin">
        <color theme="0" tint="-0.14996795556505021"/>
      </left>
      <right/>
      <top/>
      <bottom style="medium">
        <color rgb="FF01B1A3"/>
      </bottom>
      <diagonal/>
    </border>
    <border>
      <left style="thin">
        <color theme="0" tint="-0.14996795556505021"/>
      </left>
      <right style="thin">
        <color theme="0" tint="-0.14993743705557422"/>
      </right>
      <top style="medium">
        <color rgb="FF01B1A3"/>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medium">
        <color rgb="FF01B1A3"/>
      </bottom>
      <diagonal/>
    </border>
    <border>
      <left style="thin">
        <color theme="0" tint="-0.14996795556505021"/>
      </left>
      <right style="thin">
        <color theme="0" tint="-0.14996795556505021"/>
      </right>
      <top/>
      <bottom style="thin">
        <color theme="0" tint="-0.14993743705557422"/>
      </bottom>
      <diagonal/>
    </border>
    <border>
      <left style="thin">
        <color theme="0" tint="-0.1498764000366222"/>
      </left>
      <right style="thin">
        <color theme="0" tint="-0.14993743705557422"/>
      </right>
      <top style="thin">
        <color theme="0" tint="-0.14990691854609822"/>
      </top>
      <bottom/>
      <diagonal/>
    </border>
    <border>
      <left style="thin">
        <color theme="0" tint="-0.1498764000366222"/>
      </left>
      <right style="thin">
        <color theme="0" tint="-0.14993743705557422"/>
      </right>
      <top/>
      <bottom/>
      <diagonal/>
    </border>
    <border>
      <left/>
      <right style="thin">
        <color theme="0" tint="-0.14993743705557422"/>
      </right>
      <top/>
      <bottom/>
      <diagonal/>
    </border>
    <border>
      <left style="thin">
        <color theme="0" tint="-0.1498764000366222"/>
      </left>
      <right style="thin">
        <color theme="0" tint="-0.1498764000366222"/>
      </right>
      <top/>
      <bottom/>
      <diagonal/>
    </border>
    <border>
      <left/>
      <right/>
      <top style="thin">
        <color auto="1"/>
      </top>
      <bottom/>
      <diagonal/>
    </border>
    <border>
      <left/>
      <right/>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style="thin">
        <color indexed="64"/>
      </right>
      <top/>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bottom style="thin">
        <color rgb="FF01B1A3"/>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right/>
      <top/>
      <bottom style="thin">
        <color theme="0" tint="-0.14993743705557422"/>
      </bottom>
      <diagonal/>
    </border>
    <border>
      <left style="thin">
        <color theme="0" tint="-0.1498458815271462"/>
      </left>
      <right style="thin">
        <color theme="0" tint="-0.1498458815271462"/>
      </right>
      <top style="thin">
        <color theme="0" tint="-0.1498764000366222"/>
      </top>
      <bottom/>
      <diagonal/>
    </border>
    <border>
      <left style="thin">
        <color theme="0" tint="-0.1498458815271462"/>
      </left>
      <right style="thin">
        <color theme="0" tint="-0.14993743705557422"/>
      </right>
      <top style="thin">
        <color theme="0" tint="-0.1498764000366222"/>
      </top>
      <bottom/>
      <diagonal/>
    </border>
    <border>
      <left style="thin">
        <color theme="0" tint="-0.1498458815271462"/>
      </left>
      <right style="thin">
        <color theme="0" tint="-0.1498458815271462"/>
      </right>
      <top/>
      <bottom/>
      <diagonal/>
    </border>
    <border>
      <left style="thin">
        <color theme="0" tint="-0.1498458815271462"/>
      </left>
      <right style="thin">
        <color theme="0" tint="-0.14993743705557422"/>
      </right>
      <top/>
      <bottom/>
      <diagonal/>
    </border>
    <border>
      <left style="thin">
        <color theme="0" tint="-0.1498458815271462"/>
      </left>
      <right style="thin">
        <color theme="0" tint="-0.1498458815271462"/>
      </right>
      <top/>
      <bottom style="thin">
        <color theme="0" tint="-0.14990691854609822"/>
      </bottom>
      <diagonal/>
    </border>
    <border>
      <left style="thin">
        <color theme="0" tint="-0.1498458815271462"/>
      </left>
      <right style="thin">
        <color theme="0" tint="-0.14993743705557422"/>
      </right>
      <top/>
      <bottom style="thin">
        <color theme="0" tint="-0.14990691854609822"/>
      </bottom>
      <diagonal/>
    </border>
    <border>
      <left style="thin">
        <color theme="0" tint="-0.14993743705557422"/>
      </left>
      <right/>
      <top/>
      <bottom style="medium">
        <color rgb="FF01B1A3"/>
      </bottom>
      <diagonal/>
    </border>
    <border>
      <left/>
      <right style="thin">
        <color theme="0" tint="-0.14993743705557422"/>
      </right>
      <top/>
      <bottom style="medium">
        <color rgb="FF01B1A3"/>
      </bottom>
      <diagonal/>
    </border>
    <border>
      <left style="thin">
        <color theme="0" tint="-0.14993743705557422"/>
      </left>
      <right/>
      <top style="medium">
        <color rgb="FF01B1A3"/>
      </top>
      <bottom style="thin">
        <color theme="0" tint="-0.14996795556505021"/>
      </bottom>
      <diagonal/>
    </border>
    <border>
      <left/>
      <right style="thin">
        <color theme="0" tint="-0.14993743705557422"/>
      </right>
      <top style="medium">
        <color rgb="FF01B1A3"/>
      </top>
      <bottom style="thin">
        <color theme="0" tint="-0.14996795556505021"/>
      </bottom>
      <diagonal/>
    </border>
    <border>
      <left style="thin">
        <color theme="0" tint="-0.14993743705557422"/>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right style="thin">
        <color indexed="64"/>
      </right>
      <top style="thin">
        <color indexed="64"/>
      </top>
      <bottom/>
      <diagonal/>
    </border>
    <border>
      <left/>
      <right style="medium">
        <color rgb="FFF7F7F7"/>
      </right>
      <top/>
      <bottom/>
      <diagonal/>
    </border>
    <border>
      <left style="medium">
        <color rgb="FFF7F7F7"/>
      </left>
      <right/>
      <top/>
      <bottom/>
      <diagonal/>
    </border>
    <border>
      <left style="thin">
        <color rgb="FFF7F7F7"/>
      </left>
      <right/>
      <top/>
      <bottom/>
      <diagonal/>
    </border>
    <border>
      <left/>
      <right style="thin">
        <color rgb="FFF7F7F7"/>
      </right>
      <top style="medium">
        <color rgb="FFF7F7F7"/>
      </top>
      <bottom/>
      <diagonal/>
    </border>
    <border>
      <left/>
      <right/>
      <top/>
      <bottom style="thin">
        <color theme="0"/>
      </bottom>
      <diagonal/>
    </border>
    <border>
      <left/>
      <right/>
      <top style="thin">
        <color theme="0"/>
      </top>
      <bottom/>
      <diagonal/>
    </border>
    <border>
      <left/>
      <right/>
      <top/>
      <bottom style="thin">
        <color theme="0" tint="-4.9989318521683403E-2"/>
      </bottom>
      <diagonal/>
    </border>
    <border>
      <left style="thin">
        <color theme="0" tint="-4.9989318521683403E-2"/>
      </left>
      <right/>
      <top style="thin">
        <color theme="0" tint="-4.9989318521683403E-2"/>
      </top>
      <bottom style="medium">
        <color rgb="FF01B1A3"/>
      </bottom>
      <diagonal/>
    </border>
    <border>
      <left/>
      <right/>
      <top style="thin">
        <color theme="0" tint="-4.9989318521683403E-2"/>
      </top>
      <bottom style="medium">
        <color rgb="FF01B1A3"/>
      </bottom>
      <diagonal/>
    </border>
    <border>
      <left/>
      <right style="thin">
        <color theme="0" tint="-4.9989318521683403E-2"/>
      </right>
      <top style="thin">
        <color theme="0" tint="-4.9989318521683403E-2"/>
      </top>
      <bottom style="medium">
        <color rgb="FF01B1A3"/>
      </bottom>
      <diagonal/>
    </border>
    <border>
      <left style="thick">
        <color theme="0"/>
      </left>
      <right/>
      <top/>
      <bottom/>
      <diagonal/>
    </border>
    <border>
      <left style="thick">
        <color theme="0"/>
      </left>
      <right/>
      <top/>
      <bottom style="medium">
        <color rgb="FF01B1A3"/>
      </bottom>
      <diagonal/>
    </border>
    <border>
      <left style="thick">
        <color theme="0"/>
      </left>
      <right/>
      <top style="medium">
        <color rgb="FF01B1A3"/>
      </top>
      <bottom style="thin">
        <color theme="0" tint="-0.14996795556505021"/>
      </bottom>
      <diagonal/>
    </border>
    <border>
      <left style="thick">
        <color theme="0"/>
      </left>
      <right/>
      <top style="thin">
        <color theme="0" tint="-0.14996795556505021"/>
      </top>
      <bottom style="thin">
        <color theme="0" tint="-0.14996795556505021"/>
      </bottom>
      <diagonal/>
    </border>
    <border>
      <left/>
      <right/>
      <top style="thin">
        <color theme="0" tint="-0.14996795556505021"/>
      </top>
      <bottom style="medium">
        <color rgb="FF01B1A3"/>
      </bottom>
      <diagonal/>
    </border>
    <border>
      <left style="thick">
        <color theme="0"/>
      </left>
      <right/>
      <top style="thin">
        <color theme="0" tint="-0.14996795556505021"/>
      </top>
      <bottom style="medium">
        <color rgb="FF01B1A3"/>
      </bottom>
      <diagonal/>
    </border>
    <border>
      <left/>
      <right style="thick">
        <color theme="0"/>
      </right>
      <top style="medium">
        <color rgb="FF01B1A3"/>
      </top>
      <bottom style="thin">
        <color theme="0" tint="-0.14996795556505021"/>
      </bottom>
      <diagonal/>
    </border>
    <border>
      <left/>
      <right style="thick">
        <color theme="0"/>
      </right>
      <top style="thin">
        <color theme="0" tint="-0.14996795556505021"/>
      </top>
      <bottom style="thin">
        <color theme="0" tint="-0.14996795556505021"/>
      </bottom>
      <diagonal/>
    </border>
    <border>
      <left/>
      <right style="thick">
        <color theme="0"/>
      </right>
      <top style="thin">
        <color theme="0" tint="-0.14996795556505021"/>
      </top>
      <bottom style="medium">
        <color rgb="FF01B1A3"/>
      </bottom>
      <diagonal/>
    </border>
    <border>
      <left/>
      <right style="thick">
        <color theme="0"/>
      </right>
      <top/>
      <bottom/>
      <diagonal/>
    </border>
    <border>
      <left/>
      <right style="thick">
        <color theme="0"/>
      </right>
      <top/>
      <bottom style="medium">
        <color rgb="FF01B1A3"/>
      </bottom>
      <diagonal/>
    </border>
    <border>
      <left/>
      <right style="thick">
        <color theme="0" tint="-4.9989318521683403E-2"/>
      </right>
      <top/>
      <bottom/>
      <diagonal/>
    </border>
    <border>
      <left/>
      <right/>
      <top style="medium">
        <color rgb="FFF7F7F7"/>
      </top>
      <bottom/>
      <diagonal/>
    </border>
    <border>
      <left style="thick">
        <color theme="0" tint="-4.9989318521683403E-2"/>
      </left>
      <right style="thick">
        <color theme="0" tint="-4.9989318521683403E-2"/>
      </right>
      <top/>
      <bottom style="medium">
        <color rgb="FFF7F7F7"/>
      </bottom>
      <diagonal/>
    </border>
    <border>
      <left style="thick">
        <color theme="0" tint="-4.9989318521683403E-2"/>
      </left>
      <right style="thick">
        <color theme="0" tint="-4.9989318521683403E-2"/>
      </right>
      <top/>
      <bottom/>
      <diagonal/>
    </border>
    <border>
      <left style="thick">
        <color theme="0" tint="-4.9989318521683403E-2"/>
      </left>
      <right/>
      <top/>
      <bottom/>
      <diagonal/>
    </border>
    <border>
      <left/>
      <right style="thick">
        <color theme="0" tint="-4.9989318521683403E-2"/>
      </right>
      <top/>
      <bottom style="thick">
        <color theme="0" tint="-4.9989318521683403E-2"/>
      </bottom>
      <diagonal/>
    </border>
    <border>
      <left/>
      <right/>
      <top/>
      <bottom style="thick">
        <color theme="0" tint="-4.9989318521683403E-2"/>
      </bottom>
      <diagonal/>
    </border>
    <border>
      <left style="thick">
        <color theme="0" tint="-4.9989318521683403E-2"/>
      </left>
      <right style="thick">
        <color theme="0" tint="-4.9989318521683403E-2"/>
      </right>
      <top/>
      <bottom style="thick">
        <color theme="0" tint="-4.9989318521683403E-2"/>
      </bottom>
      <diagonal/>
    </border>
    <border>
      <left style="thick">
        <color theme="0" tint="-4.9989318521683403E-2"/>
      </left>
      <right/>
      <top/>
      <bottom style="thick">
        <color theme="0" tint="-4.9989318521683403E-2"/>
      </bottom>
      <diagonal/>
    </border>
    <border>
      <left style="thin">
        <color rgb="FFF7F7F7"/>
      </left>
      <right/>
      <top/>
      <bottom style="thick">
        <color theme="0" tint="-4.9989318521683403E-2"/>
      </bottom>
      <diagonal/>
    </border>
    <border>
      <left style="thick">
        <color theme="0" tint="-4.9989318521683403E-2"/>
      </left>
      <right style="thick">
        <color theme="0" tint="-4.9989318521683403E-2"/>
      </right>
      <top style="thick">
        <color theme="0" tint="-4.9989318521683403E-2"/>
      </top>
      <bottom/>
      <diagonal/>
    </border>
    <border>
      <left style="thick">
        <color theme="0"/>
      </left>
      <right style="thick">
        <color theme="0"/>
      </right>
      <top style="thick">
        <color theme="0"/>
      </top>
      <bottom style="thick">
        <color theme="0"/>
      </bottom>
      <diagonal/>
    </border>
  </borders>
  <cellStyleXfs count="8">
    <xf numFmtId="0" fontId="0" fillId="0" borderId="0"/>
    <xf numFmtId="0" fontId="16" fillId="0" borderId="0" applyNumberFormat="0" applyFill="0" applyBorder="0" applyAlignment="0" applyProtection="0"/>
    <xf numFmtId="0" fontId="14" fillId="0" borderId="0"/>
    <xf numFmtId="9" fontId="14" fillId="0" borderId="0" applyFont="0" applyFill="0" applyBorder="0" applyAlignment="0" applyProtection="0"/>
    <xf numFmtId="9" fontId="27" fillId="0" borderId="0" applyFont="0" applyFill="0" applyBorder="0" applyAlignment="0" applyProtection="0"/>
    <xf numFmtId="0" fontId="8" fillId="0" borderId="0"/>
    <xf numFmtId="9" fontId="8" fillId="0" borderId="0" applyFont="0" applyFill="0" applyBorder="0" applyAlignment="0" applyProtection="0"/>
    <xf numFmtId="164" fontId="27" fillId="0" borderId="0" applyFont="0" applyFill="0" applyBorder="0" applyAlignment="0" applyProtection="0"/>
  </cellStyleXfs>
  <cellXfs count="626">
    <xf numFmtId="0" fontId="0" fillId="0" borderId="0" xfId="0"/>
    <xf numFmtId="0" fontId="0" fillId="0" borderId="0" xfId="0" applyAlignment="1">
      <alignment vertical="center"/>
    </xf>
    <xf numFmtId="0" fontId="17" fillId="0" borderId="0" xfId="0" applyFont="1" applyAlignment="1">
      <alignment vertical="center"/>
    </xf>
    <xf numFmtId="0" fontId="18" fillId="0" borderId="0" xfId="0" applyFont="1"/>
    <xf numFmtId="0" fontId="0" fillId="0" borderId="1" xfId="0" applyBorder="1" applyAlignment="1">
      <alignment horizontal="left" vertical="center"/>
    </xf>
    <xf numFmtId="0" fontId="15" fillId="2" borderId="3" xfId="0" applyFont="1" applyFill="1" applyBorder="1" applyAlignment="1" applyProtection="1">
      <alignment horizontal="center" vertical="center"/>
      <protection hidden="1"/>
    </xf>
    <xf numFmtId="0" fontId="0" fillId="4" borderId="3" xfId="0" applyFill="1" applyBorder="1" applyAlignment="1" applyProtection="1">
      <alignment horizontal="center" vertical="center"/>
      <protection hidden="1"/>
    </xf>
    <xf numFmtId="0" fontId="29" fillId="0" borderId="0" xfId="0" applyFont="1" applyProtection="1">
      <protection hidden="1"/>
    </xf>
    <xf numFmtId="0" fontId="0" fillId="0" borderId="0" xfId="0" applyProtection="1">
      <protection hidden="1"/>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center"/>
    </xf>
    <xf numFmtId="0" fontId="0" fillId="0" borderId="45" xfId="0" applyBorder="1"/>
    <xf numFmtId="0" fontId="0" fillId="0" borderId="46" xfId="0" applyBorder="1" applyAlignment="1">
      <alignment horizontal="center"/>
    </xf>
    <xf numFmtId="0" fontId="0" fillId="0" borderId="46" xfId="0" applyBorder="1"/>
    <xf numFmtId="165" fontId="0" fillId="0" borderId="46" xfId="4" applyNumberFormat="1" applyFont="1" applyBorder="1" applyAlignment="1">
      <alignment horizontal="center"/>
    </xf>
    <xf numFmtId="0" fontId="18" fillId="0" borderId="0" xfId="0" applyFont="1" applyAlignment="1">
      <alignment horizontal="center"/>
    </xf>
    <xf numFmtId="14" fontId="0" fillId="0" borderId="0" xfId="0" applyNumberFormat="1" applyAlignment="1">
      <alignment horizontal="center"/>
    </xf>
    <xf numFmtId="0" fontId="0" fillId="0" borderId="47" xfId="0" applyBorder="1"/>
    <xf numFmtId="14" fontId="0" fillId="0" borderId="48" xfId="0" applyNumberFormat="1" applyBorder="1" applyAlignment="1">
      <alignment horizontal="left"/>
    </xf>
    <xf numFmtId="14" fontId="0" fillId="0" borderId="46" xfId="0" applyNumberFormat="1" applyBorder="1" applyAlignment="1">
      <alignment horizontal="left"/>
    </xf>
    <xf numFmtId="165" fontId="0" fillId="0" borderId="0" xfId="4" applyNumberFormat="1" applyFont="1" applyBorder="1" applyAlignment="1">
      <alignment horizontal="center"/>
    </xf>
    <xf numFmtId="0" fontId="0" fillId="0" borderId="52" xfId="0" applyBorder="1" applyAlignment="1">
      <alignment horizontal="center"/>
    </xf>
    <xf numFmtId="0" fontId="0" fillId="0" borderId="53" xfId="0" applyBorder="1"/>
    <xf numFmtId="0" fontId="0" fillId="0" borderId="48" xfId="0" applyBorder="1"/>
    <xf numFmtId="0" fontId="0" fillId="0" borderId="49" xfId="0" applyBorder="1" applyAlignment="1">
      <alignment horizontal="center"/>
    </xf>
    <xf numFmtId="0" fontId="0" fillId="0" borderId="55" xfId="0" applyBorder="1"/>
    <xf numFmtId="0" fontId="0" fillId="0" borderId="56" xfId="0" applyBorder="1"/>
    <xf numFmtId="0" fontId="0" fillId="0" borderId="55" xfId="0" applyBorder="1" applyAlignment="1">
      <alignment horizontal="center"/>
    </xf>
    <xf numFmtId="0" fontId="0" fillId="0" borderId="56" xfId="0" applyBorder="1" applyAlignment="1">
      <alignment horizontal="center"/>
    </xf>
    <xf numFmtId="0" fontId="29" fillId="2" borderId="54" xfId="0" applyFont="1" applyFill="1" applyBorder="1" applyAlignment="1">
      <alignment horizontal="center"/>
    </xf>
    <xf numFmtId="0" fontId="35" fillId="2" borderId="54" xfId="0" applyFont="1" applyFill="1" applyBorder="1"/>
    <xf numFmtId="0" fontId="35" fillId="2" borderId="50" xfId="0" applyFont="1" applyFill="1" applyBorder="1" applyAlignment="1">
      <alignment horizontal="center"/>
    </xf>
    <xf numFmtId="0" fontId="35" fillId="2" borderId="47" xfId="0" applyFont="1" applyFill="1" applyBorder="1"/>
    <xf numFmtId="0" fontId="35" fillId="2" borderId="45" xfId="0" applyFont="1" applyFill="1" applyBorder="1"/>
    <xf numFmtId="0" fontId="35" fillId="2" borderId="50" xfId="0" applyFont="1" applyFill="1" applyBorder="1"/>
    <xf numFmtId="0" fontId="35" fillId="2" borderId="51" xfId="0" applyFont="1" applyFill="1" applyBorder="1"/>
    <xf numFmtId="0" fontId="35" fillId="2" borderId="57" xfId="0" applyFont="1" applyFill="1" applyBorder="1"/>
    <xf numFmtId="0" fontId="35" fillId="2" borderId="54" xfId="0" applyFont="1" applyFill="1" applyBorder="1" applyAlignment="1">
      <alignment horizontal="center"/>
    </xf>
    <xf numFmtId="165" fontId="35" fillId="2" borderId="50" xfId="4" applyNumberFormat="1" applyFont="1" applyFill="1" applyBorder="1" applyAlignment="1">
      <alignment horizontal="center"/>
    </xf>
    <xf numFmtId="0" fontId="35" fillId="2" borderId="51" xfId="0" applyFont="1" applyFill="1" applyBorder="1" applyAlignment="1">
      <alignment horizontal="center"/>
    </xf>
    <xf numFmtId="165" fontId="0" fillId="0" borderId="56" xfId="4" applyNumberFormat="1" applyFont="1" applyBorder="1" applyAlignment="1">
      <alignment horizontal="center"/>
    </xf>
    <xf numFmtId="165" fontId="29" fillId="2" borderId="54" xfId="4" applyNumberFormat="1" applyFont="1" applyFill="1" applyBorder="1" applyAlignment="1">
      <alignment horizontal="center"/>
    </xf>
    <xf numFmtId="0" fontId="29" fillId="2" borderId="51" xfId="0" applyFont="1" applyFill="1"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57" xfId="0" applyBorder="1" applyAlignment="1">
      <alignment horizontal="center"/>
    </xf>
    <xf numFmtId="0" fontId="29" fillId="2" borderId="57" xfId="0" applyFont="1" applyFill="1" applyBorder="1"/>
    <xf numFmtId="0" fontId="29" fillId="2" borderId="50" xfId="0" applyFont="1" applyFill="1" applyBorder="1" applyAlignment="1">
      <alignment horizontal="center"/>
    </xf>
    <xf numFmtId="0" fontId="29" fillId="2" borderId="50" xfId="0" applyFont="1" applyFill="1" applyBorder="1"/>
    <xf numFmtId="0" fontId="29" fillId="2" borderId="51" xfId="0" applyFont="1" applyFill="1" applyBorder="1"/>
    <xf numFmtId="0" fontId="36" fillId="0" borderId="25" xfId="0" applyFont="1" applyBorder="1" applyAlignment="1" applyProtection="1">
      <alignment horizontal="center"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center" vertical="center"/>
      <protection hidden="1"/>
    </xf>
    <xf numFmtId="0" fontId="37" fillId="0" borderId="27" xfId="0" applyFont="1" applyBorder="1" applyAlignment="1" applyProtection="1">
      <alignment horizontal="center" vertical="center"/>
      <protection hidden="1"/>
    </xf>
    <xf numFmtId="9" fontId="28" fillId="0" borderId="62" xfId="0" applyNumberFormat="1" applyFont="1" applyBorder="1" applyAlignment="1" applyProtection="1">
      <alignment horizontal="center" vertical="center"/>
      <protection hidden="1"/>
    </xf>
    <xf numFmtId="0" fontId="28" fillId="0" borderId="62" xfId="0" applyFont="1" applyBorder="1" applyAlignment="1" applyProtection="1">
      <alignment horizontal="center" vertical="center"/>
      <protection hidden="1"/>
    </xf>
    <xf numFmtId="0" fontId="37" fillId="0" borderId="25" xfId="0" applyFont="1" applyBorder="1" applyAlignment="1" applyProtection="1">
      <alignment horizontal="center" vertical="center"/>
      <protection hidden="1"/>
    </xf>
    <xf numFmtId="9" fontId="0" fillId="0" borderId="60" xfId="0" applyNumberFormat="1" applyBorder="1" applyAlignment="1" applyProtection="1">
      <alignment horizontal="center" vertical="center"/>
      <protection locked="0"/>
    </xf>
    <xf numFmtId="9" fontId="28" fillId="0" borderId="0" xfId="0" applyNumberFormat="1" applyFont="1" applyAlignment="1" applyProtection="1">
      <alignment horizontal="center" vertical="center"/>
      <protection hidden="1"/>
    </xf>
    <xf numFmtId="9" fontId="0" fillId="2" borderId="54" xfId="0" applyNumberFormat="1" applyFill="1" applyBorder="1" applyAlignment="1">
      <alignment horizontal="center"/>
    </xf>
    <xf numFmtId="4" fontId="35" fillId="2" borderId="50" xfId="4" applyNumberFormat="1" applyFont="1" applyFill="1" applyBorder="1" applyAlignment="1">
      <alignment horizontal="center"/>
    </xf>
    <xf numFmtId="4" fontId="0" fillId="0" borderId="0" xfId="4" applyNumberFormat="1" applyFont="1" applyBorder="1" applyAlignment="1">
      <alignment horizontal="center" vertical="center"/>
    </xf>
    <xf numFmtId="4" fontId="0" fillId="0" borderId="0" xfId="0" applyNumberFormat="1" applyAlignment="1">
      <alignment horizontal="center" vertical="center"/>
    </xf>
    <xf numFmtId="4" fontId="0" fillId="0" borderId="45" xfId="4" applyNumberFormat="1" applyFont="1" applyBorder="1" applyAlignment="1">
      <alignment horizontal="center" vertical="center"/>
    </xf>
    <xf numFmtId="4" fontId="0" fillId="0" borderId="46" xfId="0" applyNumberFormat="1" applyBorder="1" applyAlignment="1">
      <alignment horizontal="center" vertical="center"/>
    </xf>
    <xf numFmtId="9" fontId="0" fillId="0" borderId="0" xfId="0" applyNumberFormat="1"/>
    <xf numFmtId="9" fontId="44" fillId="0" borderId="0" xfId="0" applyNumberFormat="1" applyFont="1" applyAlignment="1">
      <alignment horizontal="center" vertical="center"/>
    </xf>
    <xf numFmtId="0" fontId="0" fillId="0" borderId="45" xfId="0" applyBorder="1" applyAlignment="1">
      <alignment horizontal="center"/>
    </xf>
    <xf numFmtId="165" fontId="0" fillId="0" borderId="45" xfId="4" applyNumberFormat="1" applyFont="1" applyBorder="1" applyAlignment="1">
      <alignment horizontal="center"/>
    </xf>
    <xf numFmtId="9" fontId="0" fillId="0" borderId="53" xfId="0" applyNumberFormat="1" applyBorder="1" applyAlignment="1">
      <alignment horizontal="center"/>
    </xf>
    <xf numFmtId="0" fontId="29" fillId="2" borderId="57" xfId="0" applyFont="1" applyFill="1" applyBorder="1" applyAlignment="1">
      <alignment horizontal="center"/>
    </xf>
    <xf numFmtId="9" fontId="29" fillId="2" borderId="57" xfId="0" applyNumberFormat="1" applyFont="1" applyFill="1" applyBorder="1" applyAlignment="1">
      <alignment horizontal="center"/>
    </xf>
    <xf numFmtId="9" fontId="0" fillId="0" borderId="56" xfId="0" applyNumberFormat="1" applyBorder="1" applyAlignment="1">
      <alignment horizontal="center"/>
    </xf>
    <xf numFmtId="9" fontId="29" fillId="2" borderId="54" xfId="0" applyNumberFormat="1" applyFont="1" applyFill="1" applyBorder="1" applyAlignment="1">
      <alignment horizontal="center"/>
    </xf>
    <xf numFmtId="9" fontId="0" fillId="0" borderId="52" xfId="4" applyFont="1" applyBorder="1"/>
    <xf numFmtId="9" fontId="0" fillId="0" borderId="49" xfId="4" applyFont="1" applyBorder="1"/>
    <xf numFmtId="9" fontId="0" fillId="0" borderId="75" xfId="4" applyFont="1" applyBorder="1"/>
    <xf numFmtId="0" fontId="0" fillId="7" borderId="0" xfId="0" applyFill="1" applyAlignment="1">
      <alignment horizontal="center"/>
    </xf>
    <xf numFmtId="0" fontId="0" fillId="7" borderId="46" xfId="0" applyFill="1" applyBorder="1" applyAlignment="1">
      <alignment horizontal="center"/>
    </xf>
    <xf numFmtId="0" fontId="0" fillId="7" borderId="45" xfId="0" applyFill="1" applyBorder="1" applyAlignment="1">
      <alignment horizontal="center"/>
    </xf>
    <xf numFmtId="9" fontId="0" fillId="0" borderId="0" xfId="0" applyNumberFormat="1" applyAlignment="1">
      <alignment horizontal="center" vertical="center"/>
    </xf>
    <xf numFmtId="0" fontId="49" fillId="0" borderId="25" xfId="0" applyFont="1" applyBorder="1" applyAlignment="1" applyProtection="1">
      <alignment horizontal="center" vertical="center"/>
      <protection hidden="1"/>
    </xf>
    <xf numFmtId="9" fontId="48" fillId="2" borderId="0" xfId="0" applyNumberFormat="1" applyFont="1" applyFill="1" applyAlignment="1">
      <alignment horizontal="center" vertical="center"/>
    </xf>
    <xf numFmtId="9" fontId="0" fillId="0" borderId="0" xfId="4" applyFont="1"/>
    <xf numFmtId="9" fontId="0" fillId="0" borderId="0" xfId="0" applyNumberFormat="1" applyAlignment="1">
      <alignment horizontal="center"/>
    </xf>
    <xf numFmtId="165" fontId="0" fillId="0" borderId="0" xfId="4" applyNumberFormat="1" applyFont="1" applyAlignment="1">
      <alignment horizontal="center" vertical="center"/>
    </xf>
    <xf numFmtId="9" fontId="0" fillId="0" borderId="56" xfId="0" applyNumberFormat="1" applyBorder="1"/>
    <xf numFmtId="9" fontId="0" fillId="2" borderId="54" xfId="0" applyNumberFormat="1" applyFill="1" applyBorder="1"/>
    <xf numFmtId="0" fontId="24" fillId="0" borderId="19" xfId="0" applyFont="1" applyBorder="1" applyAlignment="1" applyProtection="1">
      <alignment horizontal="center" vertical="center"/>
      <protection locked="0"/>
    </xf>
    <xf numFmtId="0" fontId="24" fillId="0" borderId="1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12" fillId="0" borderId="0" xfId="0" applyFont="1" applyAlignment="1" applyProtection="1">
      <alignment vertical="center"/>
      <protection hidden="1"/>
    </xf>
    <xf numFmtId="0" fontId="13" fillId="0" borderId="0" xfId="0" applyFont="1" applyAlignment="1" applyProtection="1">
      <alignment vertical="center"/>
      <protection hidden="1"/>
    </xf>
    <xf numFmtId="0" fontId="24" fillId="0" borderId="3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14" fontId="23" fillId="0" borderId="40" xfId="0" applyNumberFormat="1" applyFont="1" applyBorder="1" applyAlignment="1" applyProtection="1">
      <alignment horizontal="center" vertical="center"/>
      <protection locked="0"/>
    </xf>
    <xf numFmtId="9" fontId="23" fillId="0" borderId="40" xfId="0" applyNumberFormat="1" applyFont="1" applyBorder="1" applyAlignment="1" applyProtection="1">
      <alignment horizontal="center" vertical="center"/>
      <protection locked="0"/>
    </xf>
    <xf numFmtId="0" fontId="23" fillId="0" borderId="17" xfId="0" applyFont="1" applyBorder="1" applyAlignment="1" applyProtection="1">
      <alignment horizontal="center" vertical="center"/>
      <protection locked="0"/>
    </xf>
    <xf numFmtId="9" fontId="23" fillId="0" borderId="17" xfId="0" applyNumberFormat="1" applyFont="1" applyBorder="1" applyAlignment="1" applyProtection="1">
      <alignment horizontal="center" vertical="center"/>
      <protection locked="0"/>
    </xf>
    <xf numFmtId="0" fontId="23" fillId="0" borderId="17" xfId="0" applyFont="1" applyBorder="1" applyAlignment="1" applyProtection="1">
      <alignment horizontal="center"/>
      <protection locked="0"/>
    </xf>
    <xf numFmtId="9" fontId="23" fillId="0" borderId="17" xfId="0" applyNumberFormat="1" applyFont="1" applyBorder="1" applyAlignment="1" applyProtection="1">
      <alignment horizontal="center"/>
      <protection locked="0"/>
    </xf>
    <xf numFmtId="0" fontId="23" fillId="0" borderId="18" xfId="0" applyFont="1" applyBorder="1" applyAlignment="1" applyProtection="1">
      <alignment horizontal="center"/>
      <protection locked="0"/>
    </xf>
    <xf numFmtId="9" fontId="23" fillId="0" borderId="18" xfId="0" applyNumberFormat="1" applyFont="1" applyBorder="1" applyAlignment="1" applyProtection="1">
      <alignment horizontal="center"/>
      <protection locked="0"/>
    </xf>
    <xf numFmtId="0" fontId="0" fillId="6" borderId="0" xfId="0" applyFill="1" applyAlignment="1" applyProtection="1">
      <alignment vertical="center"/>
      <protection hidden="1"/>
    </xf>
    <xf numFmtId="0" fontId="17" fillId="6" borderId="0" xfId="0" applyFont="1" applyFill="1" applyAlignment="1" applyProtection="1">
      <alignment vertical="center"/>
      <protection hidden="1"/>
    </xf>
    <xf numFmtId="0" fontId="12" fillId="6" borderId="0" xfId="0" applyFont="1" applyFill="1" applyAlignment="1" applyProtection="1">
      <alignment vertical="center"/>
      <protection hidden="1"/>
    </xf>
    <xf numFmtId="0" fontId="6" fillId="6" borderId="0" xfId="0" applyFont="1" applyFill="1" applyAlignment="1" applyProtection="1">
      <alignment vertical="center"/>
      <protection hidden="1"/>
    </xf>
    <xf numFmtId="0" fontId="43" fillId="6" borderId="0" xfId="0" applyFont="1" applyFill="1" applyAlignment="1" applyProtection="1">
      <alignment vertical="center"/>
      <protection hidden="1"/>
    </xf>
    <xf numFmtId="0" fontId="0" fillId="6" borderId="0" xfId="0" applyFill="1" applyAlignment="1" applyProtection="1">
      <alignment horizontal="center" vertical="center"/>
      <protection hidden="1"/>
    </xf>
    <xf numFmtId="0" fontId="41" fillId="6" borderId="0" xfId="0" applyFont="1" applyFill="1" applyAlignment="1" applyProtection="1">
      <alignment vertical="center" wrapText="1"/>
      <protection hidden="1"/>
    </xf>
    <xf numFmtId="0" fontId="39" fillId="5" borderId="0" xfId="0" applyFont="1" applyFill="1" applyAlignment="1" applyProtection="1">
      <alignment horizontal="center" vertical="center"/>
      <protection hidden="1"/>
    </xf>
    <xf numFmtId="9" fontId="39" fillId="5" borderId="0" xfId="4" applyFont="1" applyFill="1" applyBorder="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0" fillId="5" borderId="0" xfId="0" applyFill="1" applyAlignment="1" applyProtection="1">
      <alignment vertical="center"/>
      <protection hidden="1"/>
    </xf>
    <xf numFmtId="0" fontId="43" fillId="6" borderId="0" xfId="0" applyFont="1" applyFill="1" applyAlignment="1" applyProtection="1">
      <alignment horizontal="left" vertical="center"/>
      <protection hidden="1"/>
    </xf>
    <xf numFmtId="0" fontId="0" fillId="5" borderId="0" xfId="0" applyFill="1" applyAlignment="1" applyProtection="1">
      <alignment horizontal="center" vertical="center"/>
      <protection hidden="1"/>
    </xf>
    <xf numFmtId="0" fontId="21" fillId="6" borderId="0" xfId="0" applyFont="1" applyFill="1" applyAlignment="1" applyProtection="1">
      <alignment vertical="center"/>
      <protection hidden="1"/>
    </xf>
    <xf numFmtId="0" fontId="28" fillId="6" borderId="0" xfId="0" applyFont="1" applyFill="1" applyAlignment="1" applyProtection="1">
      <alignment vertical="center"/>
      <protection hidden="1"/>
    </xf>
    <xf numFmtId="0" fontId="21" fillId="5" borderId="0" xfId="0" applyFont="1" applyFill="1" applyAlignment="1" applyProtection="1">
      <alignment horizontal="center" vertical="center"/>
      <protection hidden="1"/>
    </xf>
    <xf numFmtId="0" fontId="29" fillId="5" borderId="0" xfId="0" applyFont="1" applyFill="1" applyAlignment="1" applyProtection="1">
      <alignment horizontal="center" vertical="center"/>
      <protection hidden="1"/>
    </xf>
    <xf numFmtId="0" fontId="21" fillId="6" borderId="0" xfId="0" applyFont="1" applyFill="1" applyAlignment="1" applyProtection="1">
      <alignment horizontal="center" vertical="center"/>
      <protection hidden="1"/>
    </xf>
    <xf numFmtId="9" fontId="21" fillId="5" borderId="0" xfId="4" applyFont="1" applyFill="1" applyBorder="1" applyAlignment="1" applyProtection="1">
      <alignment horizontal="right" vertical="center"/>
      <protection hidden="1"/>
    </xf>
    <xf numFmtId="9" fontId="42" fillId="5" borderId="0" xfId="4" applyFont="1" applyFill="1" applyBorder="1" applyAlignment="1" applyProtection="1">
      <alignment horizontal="center" vertical="center"/>
      <protection hidden="1"/>
    </xf>
    <xf numFmtId="0" fontId="35" fillId="4" borderId="0" xfId="0" applyFont="1" applyFill="1" applyAlignment="1" applyProtection="1">
      <alignment horizontal="center" vertical="center"/>
      <protection hidden="1"/>
    </xf>
    <xf numFmtId="0" fontId="35" fillId="6" borderId="0" xfId="0" applyFont="1" applyFill="1" applyAlignment="1" applyProtection="1">
      <alignment horizontal="center" vertical="center"/>
      <protection hidden="1"/>
    </xf>
    <xf numFmtId="0" fontId="35" fillId="6" borderId="0" xfId="0" applyFont="1" applyFill="1" applyAlignment="1" applyProtection="1">
      <alignment vertical="center"/>
      <protection hidden="1"/>
    </xf>
    <xf numFmtId="9" fontId="35" fillId="4" borderId="0" xfId="0" applyNumberFormat="1" applyFont="1" applyFill="1" applyAlignment="1" applyProtection="1">
      <alignment vertical="center"/>
      <protection hidden="1"/>
    </xf>
    <xf numFmtId="9" fontId="42" fillId="4" borderId="0" xfId="4" applyFont="1" applyFill="1" applyBorder="1" applyAlignment="1" applyProtection="1">
      <alignment horizontal="center" vertical="center"/>
      <protection hidden="1"/>
    </xf>
    <xf numFmtId="0" fontId="50" fillId="6" borderId="0" xfId="0" applyFont="1" applyFill="1" applyAlignment="1" applyProtection="1">
      <alignment vertical="center"/>
      <protection hidden="1"/>
    </xf>
    <xf numFmtId="0" fontId="50" fillId="6" borderId="0" xfId="0" applyFont="1" applyFill="1" applyAlignment="1" applyProtection="1">
      <alignment horizontal="center" vertical="center"/>
      <protection hidden="1"/>
    </xf>
    <xf numFmtId="9" fontId="50" fillId="6" borderId="0" xfId="0" applyNumberFormat="1" applyFont="1" applyFill="1" applyAlignment="1" applyProtection="1">
      <alignment vertical="center"/>
      <protection hidden="1"/>
    </xf>
    <xf numFmtId="3" fontId="21" fillId="5" borderId="0" xfId="0" applyNumberFormat="1" applyFont="1" applyFill="1" applyAlignment="1" applyProtection="1">
      <alignment horizontal="center" vertical="center"/>
      <protection hidden="1"/>
    </xf>
    <xf numFmtId="3" fontId="35" fillId="5" borderId="0" xfId="4" applyNumberFormat="1" applyFont="1" applyFill="1" applyBorder="1" applyAlignment="1" applyProtection="1">
      <alignment horizontal="center" vertical="center"/>
      <protection hidden="1"/>
    </xf>
    <xf numFmtId="3" fontId="21" fillId="6" borderId="0" xfId="4" applyNumberFormat="1" applyFont="1" applyFill="1" applyBorder="1" applyAlignment="1" applyProtection="1">
      <alignment horizontal="center" vertical="center"/>
      <protection hidden="1"/>
    </xf>
    <xf numFmtId="3" fontId="21" fillId="5" borderId="0" xfId="4" applyNumberFormat="1" applyFont="1" applyFill="1" applyBorder="1" applyAlignment="1" applyProtection="1">
      <alignment horizontal="center" vertical="center"/>
      <protection hidden="1"/>
    </xf>
    <xf numFmtId="3" fontId="35" fillId="4" borderId="0" xfId="0" applyNumberFormat="1" applyFont="1" applyFill="1" applyAlignment="1" applyProtection="1">
      <alignment horizontal="center" vertical="center"/>
      <protection hidden="1"/>
    </xf>
    <xf numFmtId="0" fontId="48" fillId="6" borderId="0" xfId="0" applyFont="1" applyFill="1" applyAlignment="1" applyProtection="1">
      <alignment vertical="center"/>
      <protection hidden="1"/>
    </xf>
    <xf numFmtId="0" fontId="28" fillId="6" borderId="0" xfId="0" applyFont="1" applyFill="1" applyAlignment="1" applyProtection="1">
      <alignment horizontal="left" vertical="center"/>
      <protection hidden="1"/>
    </xf>
    <xf numFmtId="164" fontId="48" fillId="6" borderId="0" xfId="7" applyFont="1" applyFill="1" applyAlignment="1" applyProtection="1">
      <alignment vertical="center"/>
      <protection hidden="1"/>
    </xf>
    <xf numFmtId="9" fontId="40" fillId="6" borderId="0" xfId="0" applyNumberFormat="1" applyFont="1" applyFill="1" applyAlignment="1" applyProtection="1">
      <alignment vertical="center"/>
      <protection hidden="1"/>
    </xf>
    <xf numFmtId="0" fontId="51" fillId="6" borderId="0" xfId="0" applyFont="1" applyFill="1" applyAlignment="1" applyProtection="1">
      <alignment vertical="center"/>
      <protection hidden="1"/>
    </xf>
    <xf numFmtId="10" fontId="51" fillId="6" borderId="0" xfId="0" applyNumberFormat="1" applyFont="1" applyFill="1" applyAlignment="1" applyProtection="1">
      <alignment vertical="center"/>
      <protection hidden="1"/>
    </xf>
    <xf numFmtId="10" fontId="51" fillId="6" borderId="0" xfId="4" applyNumberFormat="1" applyFont="1" applyFill="1" applyAlignment="1" applyProtection="1">
      <alignment vertical="center"/>
      <protection hidden="1"/>
    </xf>
    <xf numFmtId="0" fontId="38" fillId="6" borderId="0" xfId="0" applyFont="1" applyFill="1" applyAlignment="1" applyProtection="1">
      <alignment vertical="center"/>
      <protection hidden="1"/>
    </xf>
    <xf numFmtId="9" fontId="0" fillId="6" borderId="0" xfId="0" applyNumberFormat="1" applyFill="1" applyAlignment="1" applyProtection="1">
      <alignment vertical="center"/>
      <protection hidden="1"/>
    </xf>
    <xf numFmtId="9" fontId="0" fillId="6" borderId="0" xfId="4" applyFont="1" applyFill="1" applyAlignment="1" applyProtection="1">
      <alignment vertical="center"/>
      <protection hidden="1"/>
    </xf>
    <xf numFmtId="0" fontId="0" fillId="3" borderId="0" xfId="0" applyFill="1" applyAlignment="1" applyProtection="1">
      <alignment vertical="center"/>
      <protection hidden="1"/>
    </xf>
    <xf numFmtId="0" fontId="56" fillId="3" borderId="0" xfId="0" applyFont="1" applyFill="1" applyAlignment="1" applyProtection="1">
      <alignment vertical="center"/>
      <protection hidden="1"/>
    </xf>
    <xf numFmtId="0" fontId="40" fillId="3" borderId="0" xfId="0" applyFont="1" applyFill="1" applyAlignment="1" applyProtection="1">
      <alignment vertical="center"/>
      <protection hidden="1"/>
    </xf>
    <xf numFmtId="0" fontId="57" fillId="3" borderId="0" xfId="0" applyFont="1" applyFill="1" applyAlignment="1" applyProtection="1">
      <alignment vertical="center"/>
      <protection hidden="1"/>
    </xf>
    <xf numFmtId="0" fontId="0" fillId="0" borderId="0" xfId="0" applyAlignment="1" applyProtection="1">
      <alignment vertical="center"/>
      <protection hidden="1"/>
    </xf>
    <xf numFmtId="0" fontId="58" fillId="0" borderId="0" xfId="0" applyFont="1" applyAlignment="1" applyProtection="1">
      <alignment horizontal="left" vertical="center"/>
      <protection hidden="1"/>
    </xf>
    <xf numFmtId="0" fontId="59" fillId="0" borderId="0" xfId="0" applyFont="1" applyAlignment="1" applyProtection="1">
      <alignment vertical="center" wrapText="1"/>
      <protection hidden="1"/>
    </xf>
    <xf numFmtId="0" fontId="61" fillId="0" borderId="80" xfId="0" applyFont="1" applyBorder="1" applyAlignment="1" applyProtection="1">
      <alignment horizontal="left" vertical="top" wrapText="1"/>
      <protection hidden="1"/>
    </xf>
    <xf numFmtId="0" fontId="59" fillId="0" borderId="0" xfId="0" applyFont="1" applyAlignment="1" applyProtection="1">
      <alignment vertical="top" wrapText="1"/>
      <protection hidden="1"/>
    </xf>
    <xf numFmtId="0" fontId="60" fillId="0" borderId="80" xfId="0" applyFont="1" applyBorder="1" applyAlignment="1" applyProtection="1">
      <alignment vertical="center" wrapText="1"/>
      <protection hidden="1"/>
    </xf>
    <xf numFmtId="0" fontId="63" fillId="0" borderId="0" xfId="0" applyFont="1" applyAlignment="1" applyProtection="1">
      <alignment vertical="center" wrapText="1"/>
      <protection hidden="1"/>
    </xf>
    <xf numFmtId="0" fontId="60" fillId="0" borderId="0" xfId="0" applyFont="1" applyAlignment="1" applyProtection="1">
      <alignment vertical="center" wrapText="1"/>
      <protection hidden="1"/>
    </xf>
    <xf numFmtId="0" fontId="63" fillId="0" borderId="0" xfId="0" applyFont="1" applyAlignment="1" applyProtection="1">
      <alignment vertical="center"/>
      <protection hidden="1"/>
    </xf>
    <xf numFmtId="0" fontId="12" fillId="5" borderId="0" xfId="0" applyFont="1" applyFill="1" applyAlignment="1" applyProtection="1">
      <alignment vertical="center"/>
      <protection hidden="1"/>
    </xf>
    <xf numFmtId="0" fontId="5" fillId="5" borderId="0" xfId="0" applyFont="1" applyFill="1" applyAlignment="1" applyProtection="1">
      <alignment vertical="center"/>
      <protection hidden="1"/>
    </xf>
    <xf numFmtId="9" fontId="19" fillId="5" borderId="0" xfId="0" applyNumberFormat="1" applyFont="1" applyFill="1" applyAlignment="1" applyProtection="1">
      <alignment vertical="center"/>
      <protection hidden="1"/>
    </xf>
    <xf numFmtId="0" fontId="19" fillId="5" borderId="0" xfId="0" applyFont="1" applyFill="1" applyAlignment="1" applyProtection="1">
      <alignment vertical="center"/>
      <protection hidden="1"/>
    </xf>
    <xf numFmtId="0" fontId="4" fillId="0" borderId="0" xfId="0" applyFont="1" applyAlignment="1" applyProtection="1">
      <alignment vertical="center"/>
      <protection hidden="1"/>
    </xf>
    <xf numFmtId="0" fontId="13" fillId="6" borderId="0" xfId="0" applyFont="1" applyFill="1" applyAlignment="1" applyProtection="1">
      <alignment vertical="center"/>
      <protection hidden="1"/>
    </xf>
    <xf numFmtId="0" fontId="67" fillId="5" borderId="4" xfId="0" applyFont="1" applyFill="1" applyBorder="1" applyAlignment="1" applyProtection="1">
      <alignment horizontal="left" vertical="center"/>
      <protection hidden="1"/>
    </xf>
    <xf numFmtId="0" fontId="67" fillId="5" borderId="4" xfId="0" applyFont="1" applyFill="1" applyBorder="1" applyAlignment="1" applyProtection="1">
      <alignment horizontal="left" vertical="center"/>
      <protection locked="0"/>
    </xf>
    <xf numFmtId="0" fontId="67" fillId="5" borderId="4" xfId="0" applyFont="1" applyFill="1" applyBorder="1" applyAlignment="1" applyProtection="1">
      <alignment horizontal="left" vertical="center" wrapText="1"/>
      <protection hidden="1"/>
    </xf>
    <xf numFmtId="0" fontId="67" fillId="5" borderId="2" xfId="0" applyFont="1" applyFill="1" applyBorder="1" applyAlignment="1" applyProtection="1">
      <alignment horizontal="left" vertical="center"/>
      <protection hidden="1"/>
    </xf>
    <xf numFmtId="0" fontId="67" fillId="5" borderId="2" xfId="0" applyFont="1" applyFill="1" applyBorder="1" applyAlignment="1" applyProtection="1">
      <alignment horizontal="left" vertical="center"/>
      <protection locked="0"/>
    </xf>
    <xf numFmtId="0" fontId="67" fillId="5" borderId="2" xfId="0" applyFont="1" applyFill="1" applyBorder="1" applyAlignment="1" applyProtection="1">
      <alignment horizontal="left" vertical="center" wrapText="1"/>
      <protection hidden="1"/>
    </xf>
    <xf numFmtId="0" fontId="68" fillId="5" borderId="2" xfId="0" applyFont="1" applyFill="1" applyBorder="1" applyAlignment="1" applyProtection="1">
      <alignment horizontal="left" vertical="center" wrapText="1"/>
      <protection hidden="1"/>
    </xf>
    <xf numFmtId="0" fontId="69" fillId="5" borderId="2" xfId="0" applyFont="1" applyFill="1" applyBorder="1" applyAlignment="1" applyProtection="1">
      <alignment horizontal="left" vertical="center" wrapText="1"/>
      <protection hidden="1"/>
    </xf>
    <xf numFmtId="0" fontId="67" fillId="5" borderId="2" xfId="0" applyFont="1" applyFill="1" applyBorder="1" applyAlignment="1" applyProtection="1">
      <alignment horizontal="left" vertical="center" wrapText="1"/>
      <protection locked="0"/>
    </xf>
    <xf numFmtId="0" fontId="69" fillId="5" borderId="5" xfId="0" applyFont="1" applyFill="1" applyBorder="1" applyAlignment="1" applyProtection="1">
      <alignment horizontal="left" vertical="center" wrapText="1"/>
      <protection hidden="1"/>
    </xf>
    <xf numFmtId="0" fontId="67" fillId="5" borderId="5" xfId="0" applyFont="1" applyFill="1" applyBorder="1" applyAlignment="1" applyProtection="1">
      <alignment horizontal="left" vertical="center"/>
      <protection locked="0"/>
    </xf>
    <xf numFmtId="0" fontId="67" fillId="5" borderId="5" xfId="0" applyFont="1" applyFill="1" applyBorder="1" applyAlignment="1" applyProtection="1">
      <alignment horizontal="left" vertical="center" wrapText="1"/>
      <protection hidden="1"/>
    </xf>
    <xf numFmtId="0" fontId="69" fillId="5" borderId="6" xfId="0" applyFont="1" applyFill="1" applyBorder="1" applyAlignment="1" applyProtection="1">
      <alignment horizontal="left" vertical="center" wrapText="1"/>
      <protection hidden="1"/>
    </xf>
    <xf numFmtId="0" fontId="67" fillId="5" borderId="6" xfId="0" applyFont="1" applyFill="1" applyBorder="1" applyAlignment="1" applyProtection="1">
      <alignment horizontal="left" vertical="center"/>
      <protection locked="0"/>
    </xf>
    <xf numFmtId="0" fontId="67" fillId="5" borderId="6" xfId="0" applyFont="1" applyFill="1" applyBorder="1" applyAlignment="1" applyProtection="1">
      <alignment horizontal="left" vertical="center" wrapText="1"/>
      <protection hidden="1"/>
    </xf>
    <xf numFmtId="0" fontId="67" fillId="5" borderId="5" xfId="0" applyFont="1" applyFill="1" applyBorder="1" applyAlignment="1" applyProtection="1">
      <alignment horizontal="left" vertical="center"/>
      <protection hidden="1"/>
    </xf>
    <xf numFmtId="0" fontId="67" fillId="5" borderId="6" xfId="0" applyFont="1" applyFill="1" applyBorder="1" applyAlignment="1" applyProtection="1">
      <alignment horizontal="left" vertical="center"/>
      <protection hidden="1"/>
    </xf>
    <xf numFmtId="0" fontId="67" fillId="5" borderId="41" xfId="0" applyFont="1" applyFill="1" applyBorder="1" applyAlignment="1" applyProtection="1">
      <alignment horizontal="left" vertical="center"/>
      <protection hidden="1"/>
    </xf>
    <xf numFmtId="0" fontId="69" fillId="5" borderId="42" xfId="0" applyFont="1" applyFill="1" applyBorder="1" applyAlignment="1" applyProtection="1">
      <alignment vertical="center"/>
      <protection hidden="1"/>
    </xf>
    <xf numFmtId="0" fontId="69" fillId="5" borderId="44" xfId="0" applyFont="1" applyFill="1" applyBorder="1" applyAlignment="1" applyProtection="1">
      <alignment vertical="center"/>
      <protection hidden="1"/>
    </xf>
    <xf numFmtId="0" fontId="67" fillId="5" borderId="44" xfId="0" applyFont="1" applyFill="1" applyBorder="1" applyAlignment="1" applyProtection="1">
      <alignment horizontal="left" vertical="center"/>
      <protection hidden="1"/>
    </xf>
    <xf numFmtId="0" fontId="67" fillId="5" borderId="44" xfId="0"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protection hidden="1"/>
    </xf>
    <xf numFmtId="0" fontId="69" fillId="5" borderId="63" xfId="0" applyFont="1" applyFill="1" applyBorder="1" applyAlignment="1" applyProtection="1">
      <alignment vertical="center"/>
      <protection hidden="1"/>
    </xf>
    <xf numFmtId="0" fontId="67" fillId="5" borderId="63" xfId="0" applyFont="1" applyFill="1" applyBorder="1" applyAlignment="1" applyProtection="1">
      <alignment horizontal="left" vertical="center"/>
      <protection hidden="1"/>
    </xf>
    <xf numFmtId="0" fontId="67" fillId="5" borderId="63" xfId="0" applyFont="1" applyFill="1" applyBorder="1" applyAlignment="1" applyProtection="1">
      <alignment horizontal="left" vertical="center"/>
      <protection locked="0"/>
    </xf>
    <xf numFmtId="0" fontId="67" fillId="5" borderId="64" xfId="0" applyFont="1" applyFill="1" applyBorder="1" applyAlignment="1" applyProtection="1">
      <alignment horizontal="left" vertical="center" wrapText="1"/>
      <protection hidden="1"/>
    </xf>
    <xf numFmtId="0" fontId="69" fillId="5" borderId="65" xfId="0" applyFont="1" applyFill="1" applyBorder="1" applyAlignment="1" applyProtection="1">
      <alignment vertical="center"/>
      <protection hidden="1"/>
    </xf>
    <xf numFmtId="0" fontId="67" fillId="5" borderId="65" xfId="0" applyFont="1" applyFill="1" applyBorder="1" applyAlignment="1" applyProtection="1">
      <alignment horizontal="left" vertical="center"/>
      <protection locked="0"/>
    </xf>
    <xf numFmtId="0" fontId="67" fillId="5" borderId="66" xfId="0" applyFont="1" applyFill="1" applyBorder="1" applyAlignment="1" applyProtection="1">
      <alignment horizontal="left" vertical="center" wrapText="1"/>
      <protection hidden="1"/>
    </xf>
    <xf numFmtId="0" fontId="69" fillId="5" borderId="67" xfId="0" applyFont="1" applyFill="1" applyBorder="1" applyAlignment="1" applyProtection="1">
      <alignment vertical="center"/>
      <protection hidden="1"/>
    </xf>
    <xf numFmtId="0" fontId="67" fillId="5" borderId="67" xfId="0" applyFont="1" applyFill="1" applyBorder="1" applyAlignment="1" applyProtection="1">
      <alignment horizontal="left" vertical="center"/>
      <protection locked="0"/>
    </xf>
    <xf numFmtId="0" fontId="67" fillId="5" borderId="68" xfId="0" applyFont="1" applyFill="1" applyBorder="1" applyAlignment="1" applyProtection="1">
      <alignment horizontal="left" vertical="center" wrapText="1"/>
      <protection hidden="1"/>
    </xf>
    <xf numFmtId="0" fontId="67" fillId="5" borderId="6" xfId="0" applyFont="1" applyFill="1" applyBorder="1" applyAlignment="1" applyProtection="1">
      <alignment vertical="center"/>
      <protection hidden="1"/>
    </xf>
    <xf numFmtId="0" fontId="67" fillId="5" borderId="6" xfId="0" applyFont="1" applyFill="1" applyBorder="1" applyAlignment="1" applyProtection="1">
      <alignment vertical="center"/>
      <protection locked="0"/>
    </xf>
    <xf numFmtId="0" fontId="67" fillId="5" borderId="2" xfId="0" applyFont="1" applyFill="1" applyBorder="1" applyAlignment="1" applyProtection="1">
      <alignment vertical="center"/>
      <protection hidden="1"/>
    </xf>
    <xf numFmtId="0" fontId="67" fillId="5" borderId="2" xfId="0" applyFont="1" applyFill="1" applyBorder="1" applyAlignment="1" applyProtection="1">
      <alignment vertical="center"/>
      <protection locked="0"/>
    </xf>
    <xf numFmtId="0" fontId="67" fillId="5" borderId="5" xfId="0" applyFont="1" applyFill="1" applyBorder="1" applyAlignment="1" applyProtection="1">
      <alignment vertical="center"/>
      <protection hidden="1"/>
    </xf>
    <xf numFmtId="0" fontId="67" fillId="5" borderId="5" xfId="0" applyFont="1" applyFill="1" applyBorder="1" applyAlignment="1" applyProtection="1">
      <alignment horizontal="left" vertical="center" wrapText="1"/>
      <protection locked="0"/>
    </xf>
    <xf numFmtId="0" fontId="0" fillId="8" borderId="0" xfId="0" applyFill="1" applyAlignment="1">
      <alignment vertical="center"/>
    </xf>
    <xf numFmtId="0" fontId="0" fillId="5" borderId="0" xfId="0" applyFill="1" applyAlignment="1">
      <alignment vertical="center"/>
    </xf>
    <xf numFmtId="0" fontId="63" fillId="9" borderId="0" xfId="0" applyFont="1" applyFill="1" applyAlignment="1">
      <alignment vertical="center"/>
    </xf>
    <xf numFmtId="0" fontId="0" fillId="9" borderId="0" xfId="0" applyFill="1" applyAlignment="1">
      <alignment vertical="center"/>
    </xf>
    <xf numFmtId="0" fontId="15" fillId="5" borderId="0" xfId="0" applyFont="1" applyFill="1" applyAlignment="1" applyProtection="1">
      <alignment horizontal="left" vertical="center" indent="1"/>
      <protection locked="0"/>
    </xf>
    <xf numFmtId="0" fontId="76" fillId="3" borderId="0" xfId="0" applyFont="1" applyFill="1" applyAlignment="1" applyProtection="1">
      <alignment horizontal="left" vertical="center"/>
      <protection hidden="1"/>
    </xf>
    <xf numFmtId="0" fontId="18" fillId="2" borderId="12" xfId="0" applyFont="1" applyFill="1" applyBorder="1" applyAlignment="1" applyProtection="1">
      <alignment horizontal="center" vertical="center"/>
      <protection hidden="1"/>
    </xf>
    <xf numFmtId="0" fontId="24" fillId="0" borderId="37" xfId="0" applyFont="1" applyBorder="1" applyAlignment="1" applyProtection="1">
      <alignment horizontal="center" vertical="center"/>
      <protection locked="0"/>
    </xf>
    <xf numFmtId="0" fontId="24" fillId="0" borderId="38" xfId="0" applyFont="1" applyBorder="1" applyAlignment="1" applyProtection="1">
      <alignment horizontal="center" vertical="center"/>
      <protection locked="0"/>
    </xf>
    <xf numFmtId="0" fontId="26" fillId="2" borderId="32" xfId="0" applyFont="1" applyFill="1" applyBorder="1" applyAlignment="1" applyProtection="1">
      <alignment horizontal="center" vertical="center"/>
      <protection hidden="1"/>
    </xf>
    <xf numFmtId="9" fontId="26" fillId="2" borderId="32" xfId="4" applyFont="1" applyFill="1" applyBorder="1" applyAlignment="1" applyProtection="1">
      <alignment horizontal="center" vertical="center"/>
      <protection hidden="1"/>
    </xf>
    <xf numFmtId="0" fontId="26" fillId="2" borderId="39" xfId="0" applyFont="1" applyFill="1" applyBorder="1" applyAlignment="1" applyProtection="1">
      <alignment horizontal="center" vertical="center"/>
      <protection hidden="1"/>
    </xf>
    <xf numFmtId="9" fontId="26" fillId="2" borderId="39" xfId="4" applyFont="1" applyFill="1" applyBorder="1" applyAlignment="1" applyProtection="1">
      <alignment horizontal="center" vertical="center"/>
      <protection hidden="1"/>
    </xf>
    <xf numFmtId="0" fontId="23" fillId="0" borderId="40" xfId="0" applyFont="1" applyBorder="1" applyAlignment="1" applyProtection="1">
      <alignment horizontal="left" vertical="center" indent="1"/>
      <protection locked="0"/>
    </xf>
    <xf numFmtId="0" fontId="23" fillId="0" borderId="17" xfId="0" applyFont="1" applyBorder="1" applyAlignment="1" applyProtection="1">
      <alignment horizontal="left" vertical="center" indent="1"/>
      <protection locked="0"/>
    </xf>
    <xf numFmtId="0" fontId="23" fillId="0" borderId="17" xfId="0" applyFont="1" applyBorder="1" applyAlignment="1" applyProtection="1">
      <alignment horizontal="left" indent="1"/>
      <protection locked="0"/>
    </xf>
    <xf numFmtId="0" fontId="23" fillId="0" borderId="18" xfId="0" applyFont="1" applyBorder="1" applyAlignment="1" applyProtection="1">
      <alignment horizontal="left" indent="1"/>
      <protection locked="0"/>
    </xf>
    <xf numFmtId="0" fontId="84" fillId="3" borderId="0" xfId="0" applyFont="1" applyFill="1" applyAlignment="1" applyProtection="1">
      <alignment horizontal="center" vertical="center" wrapText="1"/>
      <protection hidden="1"/>
    </xf>
    <xf numFmtId="0" fontId="82" fillId="3" borderId="0" xfId="0" applyFont="1" applyFill="1" applyAlignment="1" applyProtection="1">
      <alignment horizontal="center" vertical="center"/>
      <protection hidden="1"/>
    </xf>
    <xf numFmtId="0" fontId="87" fillId="6" borderId="0" xfId="0" applyFont="1" applyFill="1" applyAlignment="1" applyProtection="1">
      <alignment vertical="center"/>
      <protection hidden="1"/>
    </xf>
    <xf numFmtId="0" fontId="86" fillId="2" borderId="0" xfId="0" applyFont="1" applyFill="1" applyAlignment="1" applyProtection="1">
      <alignment vertical="center" wrapText="1"/>
      <protection hidden="1"/>
    </xf>
    <xf numFmtId="0" fontId="0" fillId="6" borderId="0" xfId="0" applyFill="1" applyAlignment="1" applyProtection="1">
      <alignment horizontal="left" vertical="center" indent="1"/>
      <protection hidden="1"/>
    </xf>
    <xf numFmtId="0" fontId="84" fillId="3" borderId="0" xfId="0" applyFont="1" applyFill="1" applyAlignment="1" applyProtection="1">
      <alignment horizontal="left" vertical="center" wrapText="1" indent="1"/>
      <protection hidden="1"/>
    </xf>
    <xf numFmtId="0" fontId="39" fillId="5" borderId="0" xfId="0" applyFont="1" applyFill="1" applyAlignment="1" applyProtection="1">
      <alignment horizontal="left" vertical="center" wrapText="1" indent="1"/>
      <protection hidden="1"/>
    </xf>
    <xf numFmtId="0" fontId="21" fillId="6" borderId="0" xfId="0" applyFont="1" applyFill="1" applyAlignment="1" applyProtection="1">
      <alignment horizontal="left" vertical="center" indent="1"/>
      <protection hidden="1"/>
    </xf>
    <xf numFmtId="0" fontId="12" fillId="6" borderId="0" xfId="0" applyFont="1" applyFill="1" applyAlignment="1" applyProtection="1">
      <alignment horizontal="left" vertical="center" indent="1"/>
      <protection hidden="1"/>
    </xf>
    <xf numFmtId="0" fontId="17" fillId="6" borderId="0" xfId="0" applyFont="1" applyFill="1" applyAlignment="1" applyProtection="1">
      <alignment horizontal="left" vertical="center" indent="1"/>
      <protection hidden="1"/>
    </xf>
    <xf numFmtId="0" fontId="35" fillId="4" borderId="0" xfId="0" applyFont="1" applyFill="1" applyAlignment="1" applyProtection="1">
      <alignment horizontal="left" vertical="center" indent="1"/>
      <protection hidden="1"/>
    </xf>
    <xf numFmtId="0" fontId="50" fillId="6" borderId="0" xfId="0" applyFont="1" applyFill="1" applyAlignment="1" applyProtection="1">
      <alignment horizontal="left" vertical="center" indent="1"/>
      <protection hidden="1"/>
    </xf>
    <xf numFmtId="0" fontId="21" fillId="5" borderId="0" xfId="0" applyFont="1" applyFill="1" applyAlignment="1" applyProtection="1">
      <alignment horizontal="left" vertical="center" wrapText="1" indent="1"/>
      <protection hidden="1"/>
    </xf>
    <xf numFmtId="0" fontId="35" fillId="4" borderId="0" xfId="0" applyFont="1" applyFill="1" applyAlignment="1" applyProtection="1">
      <alignment horizontal="left" vertical="center" wrapText="1" indent="1"/>
      <protection hidden="1"/>
    </xf>
    <xf numFmtId="0" fontId="85" fillId="6" borderId="0" xfId="0" applyFont="1" applyFill="1" applyAlignment="1" applyProtection="1">
      <alignment horizontal="left" vertical="center" indent="1"/>
      <protection hidden="1"/>
    </xf>
    <xf numFmtId="0" fontId="85" fillId="6" borderId="0" xfId="0" applyFont="1" applyFill="1" applyAlignment="1" applyProtection="1">
      <alignment vertical="center"/>
      <protection hidden="1"/>
    </xf>
    <xf numFmtId="0" fontId="91" fillId="6" borderId="0" xfId="0" applyFont="1" applyFill="1" applyAlignment="1" applyProtection="1">
      <alignment vertical="center"/>
      <protection hidden="1"/>
    </xf>
    <xf numFmtId="0" fontId="89" fillId="3" borderId="0" xfId="0" applyFont="1" applyFill="1" applyAlignment="1" applyProtection="1">
      <alignment vertical="center"/>
      <protection hidden="1"/>
    </xf>
    <xf numFmtId="0" fontId="0" fillId="0" borderId="7" xfId="0" applyBorder="1" applyAlignment="1" applyProtection="1">
      <alignment vertical="center"/>
      <protection hidden="1"/>
    </xf>
    <xf numFmtId="0" fontId="59" fillId="0" borderId="0" xfId="0" applyFont="1" applyAlignment="1" applyProtection="1">
      <alignment horizontal="left" vertical="center" wrapText="1" indent="1"/>
      <protection hidden="1"/>
    </xf>
    <xf numFmtId="0" fontId="0" fillId="0" borderId="0" xfId="0" applyAlignment="1" applyProtection="1">
      <alignment horizontal="left" vertical="center" indent="1"/>
      <protection hidden="1"/>
    </xf>
    <xf numFmtId="0" fontId="29" fillId="0" borderId="0" xfId="0" applyFont="1" applyAlignment="1" applyProtection="1">
      <alignment vertical="center"/>
      <protection hidden="1"/>
    </xf>
    <xf numFmtId="0" fontId="82" fillId="3" borderId="0" xfId="0" applyFont="1" applyFill="1" applyAlignment="1" applyProtection="1">
      <alignment vertical="center"/>
      <protection hidden="1"/>
    </xf>
    <xf numFmtId="0" fontId="41" fillId="6" borderId="0" xfId="0" applyFont="1" applyFill="1" applyAlignment="1" applyProtection="1">
      <alignment horizontal="center" vertical="center" wrapText="1"/>
      <protection hidden="1"/>
    </xf>
    <xf numFmtId="0" fontId="84" fillId="3" borderId="0" xfId="0" applyFont="1" applyFill="1" applyAlignment="1" applyProtection="1">
      <alignment horizontal="center" vertical="center"/>
      <protection hidden="1"/>
    </xf>
    <xf numFmtId="0" fontId="28" fillId="0" borderId="0" xfId="0" applyFont="1" applyAlignment="1" applyProtection="1">
      <alignment horizontal="left" vertical="top" wrapText="1"/>
      <protection hidden="1"/>
    </xf>
    <xf numFmtId="0" fontId="63" fillId="9" borderId="0" xfId="0" applyFont="1" applyFill="1" applyAlignment="1" applyProtection="1">
      <alignment vertical="center"/>
      <protection locked="0"/>
    </xf>
    <xf numFmtId="0" fontId="0" fillId="9" borderId="0" xfId="0" applyFill="1" applyAlignment="1" applyProtection="1">
      <alignment vertical="center"/>
      <protection locked="0"/>
    </xf>
    <xf numFmtId="0" fontId="0" fillId="8" borderId="0" xfId="0" applyFill="1" applyAlignment="1" applyProtection="1">
      <alignment vertical="center"/>
      <protection locked="0"/>
    </xf>
    <xf numFmtId="0" fontId="0" fillId="5" borderId="0" xfId="0" applyFill="1" applyAlignment="1" applyProtection="1">
      <alignment vertical="center"/>
      <protection locked="0"/>
    </xf>
    <xf numFmtId="0" fontId="0" fillId="0" borderId="0" xfId="0" applyAlignment="1" applyProtection="1">
      <alignment vertical="center"/>
      <protection locked="0"/>
    </xf>
    <xf numFmtId="0" fontId="21" fillId="0" borderId="58" xfId="0" applyFont="1" applyBorder="1" applyAlignment="1" applyProtection="1">
      <alignment vertical="center"/>
      <protection locked="0"/>
    </xf>
    <xf numFmtId="0" fontId="0" fillId="0" borderId="58" xfId="0" applyBorder="1" applyAlignment="1" applyProtection="1">
      <alignment vertical="center"/>
      <protection locked="0"/>
    </xf>
    <xf numFmtId="0" fontId="0" fillId="0" borderId="60" xfId="0" applyBorder="1" applyAlignment="1" applyProtection="1">
      <alignment vertical="center"/>
      <protection locked="0"/>
    </xf>
    <xf numFmtId="0" fontId="0" fillId="0" borderId="61" xfId="0" applyBorder="1" applyAlignment="1" applyProtection="1">
      <alignment vertical="center"/>
      <protection locked="0"/>
    </xf>
    <xf numFmtId="0" fontId="0" fillId="0" borderId="26" xfId="0" applyBorder="1" applyAlignment="1" applyProtection="1">
      <alignment vertical="center"/>
      <protection locked="0"/>
    </xf>
    <xf numFmtId="0" fontId="0" fillId="0" borderId="62" xfId="0" applyBorder="1" applyAlignment="1" applyProtection="1">
      <alignment vertical="center"/>
      <protection locked="0"/>
    </xf>
    <xf numFmtId="0" fontId="0" fillId="0" borderId="28" xfId="0" applyBorder="1" applyAlignment="1" applyProtection="1">
      <alignment vertical="center"/>
      <protection locked="0"/>
    </xf>
    <xf numFmtId="0" fontId="77" fillId="0" borderId="0" xfId="0" applyFont="1" applyAlignment="1" applyProtection="1">
      <alignment vertical="center"/>
      <protection hidden="1"/>
    </xf>
    <xf numFmtId="0" fontId="0" fillId="0" borderId="59" xfId="0" applyBorder="1" applyAlignment="1" applyProtection="1">
      <alignment horizontal="left" vertical="center"/>
      <protection hidden="1"/>
    </xf>
    <xf numFmtId="0" fontId="0" fillId="0" borderId="60" xfId="0" applyBorder="1" applyAlignment="1" applyProtection="1">
      <alignment vertical="center"/>
      <protection hidden="1"/>
    </xf>
    <xf numFmtId="0" fontId="0" fillId="5" borderId="8" xfId="0" applyFill="1" applyBorder="1" applyAlignment="1" applyProtection="1">
      <alignment horizontal="left" vertical="center" indent="1"/>
      <protection locked="0"/>
    </xf>
    <xf numFmtId="0" fontId="0" fillId="6" borderId="0" xfId="0" applyFill="1" applyAlignment="1" applyProtection="1">
      <alignment horizontal="left" vertical="center" indent="1"/>
      <protection locked="0"/>
    </xf>
    <xf numFmtId="0" fontId="0" fillId="5" borderId="0" xfId="0" applyFill="1" applyAlignment="1" applyProtection="1">
      <alignment horizontal="left" vertical="center" indent="1"/>
      <protection locked="0"/>
    </xf>
    <xf numFmtId="0" fontId="63" fillId="9" borderId="0" xfId="0" applyFont="1" applyFill="1" applyAlignment="1" applyProtection="1">
      <alignment vertical="center"/>
      <protection hidden="1"/>
    </xf>
    <xf numFmtId="0" fontId="63" fillId="9" borderId="0" xfId="0" applyFont="1" applyFill="1" applyAlignment="1" applyProtection="1">
      <alignment horizontal="left" vertical="center" indent="1"/>
      <protection hidden="1"/>
    </xf>
    <xf numFmtId="0" fontId="0" fillId="9" borderId="0" xfId="0" applyFill="1" applyAlignment="1" applyProtection="1">
      <alignment vertical="center"/>
      <protection hidden="1"/>
    </xf>
    <xf numFmtId="0" fontId="0" fillId="8" borderId="0" xfId="0" applyFill="1" applyAlignment="1" applyProtection="1">
      <alignment vertical="center"/>
      <protection hidden="1"/>
    </xf>
    <xf numFmtId="0" fontId="0" fillId="8" borderId="0" xfId="0" applyFill="1" applyAlignment="1" applyProtection="1">
      <alignment horizontal="left" vertical="center" indent="1"/>
      <protection hidden="1"/>
    </xf>
    <xf numFmtId="0" fontId="85" fillId="0" borderId="0" xfId="0" applyFont="1" applyProtection="1">
      <protection hidden="1"/>
    </xf>
    <xf numFmtId="0" fontId="0" fillId="0" borderId="0" xfId="0" applyAlignment="1" applyProtection="1">
      <alignment horizontal="left" vertical="center" indent="1"/>
      <protection locked="0"/>
    </xf>
    <xf numFmtId="0" fontId="0" fillId="0" borderId="0" xfId="0" applyProtection="1">
      <protection locked="0"/>
    </xf>
    <xf numFmtId="0" fontId="85" fillId="0" borderId="0" xfId="0" applyFont="1" applyProtection="1">
      <protection locked="0"/>
    </xf>
    <xf numFmtId="0" fontId="97" fillId="0" borderId="0" xfId="0" applyFont="1" applyAlignment="1" applyProtection="1">
      <alignment vertical="center"/>
      <protection locked="0"/>
    </xf>
    <xf numFmtId="0" fontId="0" fillId="0" borderId="8" xfId="0" applyBorder="1" applyAlignment="1" applyProtection="1">
      <alignment horizontal="center" vertical="center"/>
      <protection locked="0"/>
    </xf>
    <xf numFmtId="0" fontId="0" fillId="6" borderId="0" xfId="0" applyFill="1" applyAlignment="1" applyProtection="1">
      <alignment horizontal="center" vertical="center"/>
      <protection locked="0"/>
    </xf>
    <xf numFmtId="0" fontId="0" fillId="0" borderId="0" xfId="0" applyAlignment="1" applyProtection="1">
      <alignment horizontal="center" vertical="center"/>
      <protection locked="0"/>
    </xf>
    <xf numFmtId="0" fontId="0" fillId="5" borderId="0" xfId="0" applyFill="1" applyAlignment="1" applyProtection="1">
      <alignment horizontal="center" vertical="center"/>
      <protection locked="0"/>
    </xf>
    <xf numFmtId="0" fontId="0" fillId="5" borderId="0" xfId="0" applyFill="1" applyAlignment="1" applyProtection="1">
      <alignment horizontal="left" vertical="center"/>
      <protection locked="0"/>
    </xf>
    <xf numFmtId="0" fontId="0" fillId="0" borderId="0" xfId="0" applyAlignment="1" applyProtection="1">
      <alignment horizontal="left" vertical="center"/>
      <protection locked="0"/>
    </xf>
    <xf numFmtId="0" fontId="29" fillId="0" borderId="0" xfId="0" applyFont="1" applyAlignment="1" applyProtection="1">
      <alignment horizontal="right" vertical="center"/>
      <protection locked="0"/>
    </xf>
    <xf numFmtId="0" fontId="82" fillId="3" borderId="7" xfId="0" applyFont="1" applyFill="1" applyBorder="1" applyAlignment="1" applyProtection="1">
      <alignment horizontal="center" vertical="center"/>
      <protection hidden="1"/>
    </xf>
    <xf numFmtId="0" fontId="83" fillId="3" borderId="7" xfId="0" applyFont="1" applyFill="1" applyBorder="1" applyAlignment="1" applyProtection="1">
      <alignment horizontal="left" vertical="center" indent="1"/>
      <protection hidden="1"/>
    </xf>
    <xf numFmtId="0" fontId="12" fillId="5" borderId="0" xfId="0" applyFont="1" applyFill="1" applyAlignment="1" applyProtection="1">
      <alignment vertical="center"/>
      <protection locked="0"/>
    </xf>
    <xf numFmtId="0" fontId="12" fillId="5" borderId="0" xfId="0" applyFont="1" applyFill="1" applyAlignment="1" applyProtection="1">
      <alignment horizontal="left" vertical="center" indent="1"/>
      <protection locked="0"/>
    </xf>
    <xf numFmtId="0" fontId="13" fillId="5" borderId="0" xfId="0" applyFont="1" applyFill="1" applyAlignment="1" applyProtection="1">
      <alignment vertical="center"/>
      <protection locked="0"/>
    </xf>
    <xf numFmtId="0" fontId="12" fillId="0" borderId="0" xfId="0" applyFont="1" applyAlignment="1" applyProtection="1">
      <alignment vertical="center"/>
      <protection locked="0"/>
    </xf>
    <xf numFmtId="0" fontId="74" fillId="0" borderId="0" xfId="0" applyFont="1" applyAlignment="1" applyProtection="1">
      <alignment vertical="center"/>
      <protection locked="0"/>
    </xf>
    <xf numFmtId="0" fontId="13" fillId="0" borderId="0" xfId="0" applyFont="1" applyAlignment="1" applyProtection="1">
      <alignment vertical="center"/>
      <protection locked="0"/>
    </xf>
    <xf numFmtId="0" fontId="12" fillId="0" borderId="0" xfId="0" applyFont="1" applyAlignment="1" applyProtection="1">
      <alignment horizontal="left" vertical="center" indent="1"/>
      <protection locked="0"/>
    </xf>
    <xf numFmtId="0" fontId="15" fillId="5" borderId="0" xfId="0" applyFont="1" applyFill="1" applyAlignment="1" applyProtection="1">
      <alignment vertical="center"/>
      <protection locked="0"/>
    </xf>
    <xf numFmtId="0" fontId="13" fillId="0" borderId="8" xfId="0" applyFont="1" applyBorder="1" applyAlignment="1" applyProtection="1">
      <alignment horizontal="center" vertical="center"/>
      <protection locked="0"/>
    </xf>
    <xf numFmtId="0" fontId="13" fillId="6" borderId="0" xfId="0" applyFont="1" applyFill="1" applyAlignment="1" applyProtection="1">
      <alignment horizontal="center" vertical="center"/>
      <protection locked="0"/>
    </xf>
    <xf numFmtId="0" fontId="13" fillId="0" borderId="0" xfId="0" applyFont="1" applyAlignment="1" applyProtection="1">
      <alignment horizontal="center" vertical="center"/>
      <protection locked="0"/>
    </xf>
    <xf numFmtId="0" fontId="30" fillId="6" borderId="0" xfId="0" applyFont="1" applyFill="1" applyAlignment="1" applyProtection="1">
      <alignment horizontal="center" vertical="center"/>
      <protection locked="0"/>
    </xf>
    <xf numFmtId="0" fontId="30" fillId="6" borderId="0" xfId="0" applyFont="1" applyFill="1" applyAlignment="1" applyProtection="1">
      <alignment horizontal="left" vertical="center" indent="1"/>
      <protection locked="0"/>
    </xf>
    <xf numFmtId="0" fontId="30" fillId="5" borderId="0" xfId="0" applyFont="1" applyFill="1" applyAlignment="1" applyProtection="1">
      <alignment horizontal="center" vertical="center"/>
      <protection locked="0"/>
    </xf>
    <xf numFmtId="0" fontId="15" fillId="0" borderId="0" xfId="0" applyFont="1" applyAlignment="1" applyProtection="1">
      <alignment horizontal="left" vertical="center"/>
      <protection locked="0"/>
    </xf>
    <xf numFmtId="0" fontId="18" fillId="0" borderId="0" xfId="0" applyFont="1" applyAlignment="1" applyProtection="1">
      <alignment horizontal="right" vertical="center"/>
      <protection locked="0"/>
    </xf>
    <xf numFmtId="0" fontId="13" fillId="0" borderId="0" xfId="0" applyFont="1" applyAlignment="1" applyProtection="1">
      <alignment horizontal="left" vertical="center" indent="1"/>
      <protection locked="0"/>
    </xf>
    <xf numFmtId="0" fontId="72" fillId="0" borderId="0" xfId="0" applyFont="1" applyAlignment="1" applyProtection="1">
      <alignment vertical="top"/>
      <protection locked="0"/>
    </xf>
    <xf numFmtId="0" fontId="74" fillId="0" borderId="0" xfId="0" applyFont="1" applyAlignment="1" applyProtection="1">
      <alignment vertical="center"/>
      <protection hidden="1"/>
    </xf>
    <xf numFmtId="0" fontId="72" fillId="0" borderId="0" xfId="0" applyFont="1" applyAlignment="1" applyProtection="1">
      <alignment vertical="top"/>
      <protection hidden="1"/>
    </xf>
    <xf numFmtId="0" fontId="12" fillId="0" borderId="0" xfId="0" applyFont="1" applyAlignment="1" applyProtection="1">
      <alignment horizontal="left" vertical="center" indent="1"/>
      <protection hidden="1"/>
    </xf>
    <xf numFmtId="0" fontId="71" fillId="3" borderId="7" xfId="0" applyFont="1" applyFill="1" applyBorder="1" applyAlignment="1" applyProtection="1">
      <alignment horizontal="center" vertical="center"/>
      <protection hidden="1"/>
    </xf>
    <xf numFmtId="0" fontId="71" fillId="3" borderId="7" xfId="0" applyFont="1" applyFill="1" applyBorder="1" applyAlignment="1" applyProtection="1">
      <alignment horizontal="left" vertical="center" indent="1"/>
      <protection hidden="1"/>
    </xf>
    <xf numFmtId="0" fontId="13" fillId="8" borderId="0" xfId="0" applyFont="1" applyFill="1" applyAlignment="1" applyProtection="1">
      <alignment vertical="center"/>
      <protection locked="0"/>
    </xf>
    <xf numFmtId="0" fontId="18" fillId="0" borderId="0" xfId="0" applyFont="1" applyAlignment="1" applyProtection="1">
      <alignment vertical="center"/>
      <protection locked="0"/>
    </xf>
    <xf numFmtId="0" fontId="16" fillId="0" borderId="0" xfId="1" applyAlignment="1" applyProtection="1">
      <alignment vertical="center"/>
      <protection locked="0"/>
    </xf>
    <xf numFmtId="0" fontId="15" fillId="0" borderId="0" xfId="0" applyFont="1" applyAlignment="1" applyProtection="1">
      <alignment vertical="center"/>
      <protection locked="0"/>
    </xf>
    <xf numFmtId="0" fontId="13" fillId="8" borderId="0" xfId="0" applyFont="1" applyFill="1" applyAlignment="1" applyProtection="1">
      <alignment vertical="center"/>
      <protection hidden="1"/>
    </xf>
    <xf numFmtId="0" fontId="75" fillId="5" borderId="0" xfId="0" applyFont="1" applyFill="1" applyAlignment="1" applyProtection="1">
      <alignment horizontal="left" vertical="center"/>
      <protection hidden="1"/>
    </xf>
    <xf numFmtId="0" fontId="18" fillId="5" borderId="0" xfId="0" applyFont="1" applyFill="1" applyAlignment="1" applyProtection="1">
      <alignment vertical="center"/>
      <protection hidden="1"/>
    </xf>
    <xf numFmtId="0" fontId="71" fillId="3" borderId="0" xfId="0" applyFont="1" applyFill="1" applyAlignment="1" applyProtection="1">
      <alignment vertical="center"/>
      <protection hidden="1"/>
    </xf>
    <xf numFmtId="0" fontId="11" fillId="0" borderId="0" xfId="0" applyFont="1" applyAlignment="1" applyProtection="1">
      <alignment vertical="center"/>
      <protection locked="0"/>
    </xf>
    <xf numFmtId="0" fontId="10" fillId="0" borderId="0" xfId="0" applyFont="1" applyAlignment="1" applyProtection="1">
      <alignment vertical="center"/>
      <protection locked="0"/>
    </xf>
    <xf numFmtId="0" fontId="24" fillId="0" borderId="0" xfId="0" applyFont="1" applyAlignment="1" applyProtection="1">
      <alignment vertical="center"/>
      <protection locked="0"/>
    </xf>
    <xf numFmtId="0" fontId="45" fillId="0" borderId="60" xfId="0" applyFont="1" applyBorder="1" applyAlignment="1" applyProtection="1">
      <alignment vertical="top"/>
      <protection locked="0"/>
    </xf>
    <xf numFmtId="0" fontId="78" fillId="0" borderId="0" xfId="0" applyFont="1" applyAlignment="1" applyProtection="1">
      <alignment horizontal="left" vertical="top"/>
      <protection hidden="1"/>
    </xf>
    <xf numFmtId="0" fontId="80" fillId="3" borderId="7" xfId="0" applyFont="1" applyFill="1" applyBorder="1" applyAlignment="1" applyProtection="1">
      <alignment horizontal="center" vertical="center"/>
      <protection hidden="1"/>
    </xf>
    <xf numFmtId="0" fontId="18" fillId="2" borderId="14" xfId="0" applyFont="1" applyFill="1" applyBorder="1" applyAlignment="1" applyProtection="1">
      <alignment horizontal="center" vertical="center"/>
      <protection hidden="1"/>
    </xf>
    <xf numFmtId="0" fontId="19" fillId="0" borderId="0" xfId="0" applyFont="1" applyAlignment="1" applyProtection="1">
      <alignment vertical="center"/>
      <protection hidden="1"/>
    </xf>
    <xf numFmtId="0" fontId="13" fillId="5" borderId="0" xfId="0" applyFont="1" applyFill="1" applyAlignment="1" applyProtection="1">
      <alignment horizontal="center" vertical="center"/>
      <protection locked="0"/>
    </xf>
    <xf numFmtId="0" fontId="95"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11" fillId="0" borderId="0" xfId="0" applyFont="1" applyAlignment="1" applyProtection="1">
      <alignment horizontal="center" vertical="center"/>
      <protection locked="0"/>
    </xf>
    <xf numFmtId="0" fontId="16" fillId="0" borderId="0" xfId="1" applyAlignment="1" applyProtection="1">
      <alignment horizontal="center" vertical="center"/>
      <protection locked="0"/>
    </xf>
    <xf numFmtId="0" fontId="63" fillId="9" borderId="0" xfId="0" applyFont="1" applyFill="1" applyAlignment="1" applyProtection="1">
      <alignment horizontal="center" vertical="center"/>
      <protection hidden="1"/>
    </xf>
    <xf numFmtId="0" fontId="13" fillId="8" borderId="0" xfId="0" applyFont="1" applyFill="1" applyAlignment="1" applyProtection="1">
      <alignment horizontal="center" vertical="center"/>
      <protection hidden="1"/>
    </xf>
    <xf numFmtId="0" fontId="13" fillId="5" borderId="0" xfId="0" applyFont="1" applyFill="1" applyAlignment="1" applyProtection="1">
      <alignment vertical="center"/>
      <protection hidden="1"/>
    </xf>
    <xf numFmtId="0" fontId="13" fillId="5" borderId="0" xfId="0" applyFont="1" applyFill="1" applyAlignment="1" applyProtection="1">
      <alignment horizontal="center" vertical="center"/>
      <protection hidden="1"/>
    </xf>
    <xf numFmtId="0" fontId="13" fillId="0" borderId="0" xfId="0" applyFont="1" applyAlignment="1" applyProtection="1">
      <alignment horizontal="center" vertical="center"/>
      <protection hidden="1"/>
    </xf>
    <xf numFmtId="0" fontId="78" fillId="0" borderId="0" xfId="0" applyFont="1" applyAlignment="1" applyProtection="1">
      <alignment vertical="top"/>
      <protection hidden="1"/>
    </xf>
    <xf numFmtId="0" fontId="95" fillId="0" borderId="0" xfId="0" applyFont="1" applyAlignment="1" applyProtection="1">
      <alignment horizontal="center" vertical="center"/>
      <protection hidden="1"/>
    </xf>
    <xf numFmtId="0" fontId="80" fillId="3" borderId="0" xfId="0" applyFont="1" applyFill="1" applyAlignment="1" applyProtection="1">
      <alignment horizontal="center" vertical="center"/>
      <protection hidden="1"/>
    </xf>
    <xf numFmtId="0" fontId="80" fillId="3" borderId="20" xfId="0" applyFont="1" applyFill="1" applyBorder="1" applyAlignment="1" applyProtection="1">
      <alignment horizontal="center" vertical="center"/>
      <protection hidden="1"/>
    </xf>
    <xf numFmtId="0" fontId="95" fillId="0" borderId="0" xfId="0" applyFont="1" applyAlignment="1" applyProtection="1">
      <alignment vertical="center"/>
      <protection locked="0"/>
    </xf>
    <xf numFmtId="0" fontId="24" fillId="5" borderId="17" xfId="0" applyFont="1" applyFill="1" applyBorder="1" applyAlignment="1" applyProtection="1">
      <alignment horizontal="center" vertical="center"/>
      <protection locked="0"/>
    </xf>
    <xf numFmtId="0" fontId="24" fillId="5" borderId="38" xfId="0" applyFont="1" applyFill="1" applyBorder="1" applyAlignment="1" applyProtection="1">
      <alignment horizontal="center" vertical="center"/>
      <protection locked="0"/>
    </xf>
    <xf numFmtId="0" fontId="24" fillId="5" borderId="18" xfId="0" applyFont="1" applyFill="1" applyBorder="1" applyAlignment="1" applyProtection="1">
      <alignment horizontal="center" vertical="center"/>
      <protection locked="0"/>
    </xf>
    <xf numFmtId="0" fontId="2" fillId="0" borderId="0" xfId="0" applyFont="1" applyAlignment="1" applyProtection="1">
      <alignment vertical="center"/>
      <protection locked="0"/>
    </xf>
    <xf numFmtId="0" fontId="95" fillId="0" borderId="0" xfId="0" applyFont="1" applyAlignment="1" applyProtection="1">
      <alignment vertical="center"/>
      <protection hidden="1"/>
    </xf>
    <xf numFmtId="0" fontId="71" fillId="3" borderId="0" xfId="0" applyFont="1" applyFill="1" applyAlignment="1" applyProtection="1">
      <alignment horizontal="center" vertical="center"/>
      <protection hidden="1"/>
    </xf>
    <xf numFmtId="0" fontId="71" fillId="3" borderId="20" xfId="0" applyFont="1" applyFill="1" applyBorder="1" applyAlignment="1" applyProtection="1">
      <alignment horizontal="center" vertical="center"/>
      <protection hidden="1"/>
    </xf>
    <xf numFmtId="0" fontId="73" fillId="0" borderId="0" xfId="0" applyFont="1" applyAlignment="1" applyProtection="1">
      <alignment vertical="center"/>
      <protection hidden="1"/>
    </xf>
    <xf numFmtId="0" fontId="79" fillId="3" borderId="0" xfId="0" applyFont="1" applyFill="1" applyAlignment="1" applyProtection="1">
      <alignment horizontal="center" vertical="center"/>
      <protection hidden="1"/>
    </xf>
    <xf numFmtId="0" fontId="79" fillId="3" borderId="20" xfId="0" applyFont="1" applyFill="1" applyBorder="1" applyAlignment="1" applyProtection="1">
      <alignment horizontal="center" vertical="center"/>
      <protection hidden="1"/>
    </xf>
    <xf numFmtId="0" fontId="2" fillId="0" borderId="0" xfId="0" applyFont="1" applyAlignment="1" applyProtection="1">
      <alignment horizontal="center" vertical="center"/>
      <protection locked="0"/>
    </xf>
    <xf numFmtId="0" fontId="22" fillId="0" borderId="0" xfId="0" applyFont="1" applyAlignment="1" applyProtection="1">
      <alignment vertical="top"/>
      <protection hidden="1"/>
    </xf>
    <xf numFmtId="0" fontId="95" fillId="0" borderId="16" xfId="0" applyFont="1" applyBorder="1" applyAlignment="1" applyProtection="1">
      <alignment horizontal="center" vertical="center"/>
      <protection hidden="1"/>
    </xf>
    <xf numFmtId="0" fontId="63" fillId="9" borderId="0" xfId="0" applyFont="1" applyFill="1" applyAlignment="1" applyProtection="1">
      <alignment horizontal="left" vertical="center"/>
      <protection locked="0"/>
    </xf>
    <xf numFmtId="0" fontId="13" fillId="8" borderId="0" xfId="0" applyFont="1" applyFill="1" applyAlignment="1" applyProtection="1">
      <alignment horizontal="left" vertical="center"/>
      <protection locked="0"/>
    </xf>
    <xf numFmtId="0" fontId="13" fillId="5" borderId="0" xfId="0" applyFont="1" applyFill="1" applyAlignment="1" applyProtection="1">
      <alignment horizontal="left" vertical="center"/>
      <protection locked="0"/>
    </xf>
    <xf numFmtId="0" fontId="12" fillId="0" borderId="0" xfId="0" applyFont="1" applyAlignment="1" applyProtection="1">
      <alignment horizontal="left" vertical="center"/>
      <protection locked="0"/>
    </xf>
    <xf numFmtId="0" fontId="18" fillId="0" borderId="0" xfId="0" applyFont="1" applyAlignment="1" applyProtection="1">
      <alignment horizontal="left" vertical="center"/>
      <protection locked="0"/>
    </xf>
    <xf numFmtId="0" fontId="13" fillId="0" borderId="0" xfId="0" applyFont="1" applyAlignment="1" applyProtection="1">
      <alignment horizontal="left" vertical="center"/>
      <protection locked="0"/>
    </xf>
    <xf numFmtId="0" fontId="74" fillId="0" borderId="0" xfId="0" applyFont="1" applyAlignment="1" applyProtection="1">
      <alignment horizontal="left" vertical="center"/>
      <protection hidden="1"/>
    </xf>
    <xf numFmtId="0" fontId="20"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0" applyFont="1" applyAlignment="1" applyProtection="1">
      <alignment vertical="center"/>
      <protection hidden="1"/>
    </xf>
    <xf numFmtId="0" fontId="12" fillId="0" borderId="0" xfId="0" applyFont="1" applyAlignment="1" applyProtection="1">
      <alignment horizontal="left" vertical="center"/>
      <protection hidden="1"/>
    </xf>
    <xf numFmtId="0" fontId="95" fillId="0" borderId="35" xfId="0" applyFont="1" applyBorder="1" applyAlignment="1" applyProtection="1">
      <alignment horizontal="center" vertical="center"/>
      <protection hidden="1"/>
    </xf>
    <xf numFmtId="0" fontId="95" fillId="0" borderId="9" xfId="0" applyFont="1" applyBorder="1" applyAlignment="1" applyProtection="1">
      <alignment horizontal="center" vertical="center"/>
      <protection hidden="1"/>
    </xf>
    <xf numFmtId="0" fontId="80" fillId="3" borderId="34" xfId="0" applyFont="1" applyFill="1" applyBorder="1" applyAlignment="1" applyProtection="1">
      <alignment horizontal="center" vertical="center"/>
      <protection hidden="1"/>
    </xf>
    <xf numFmtId="0" fontId="89" fillId="0" borderId="0" xfId="0" applyFont="1" applyAlignment="1" applyProtection="1">
      <alignment horizontal="left" vertical="center"/>
      <protection locked="0"/>
    </xf>
    <xf numFmtId="0" fontId="91" fillId="0" borderId="0" xfId="0" applyFont="1" applyAlignment="1" applyProtection="1">
      <alignment horizontal="left" vertical="center"/>
      <protection locked="0"/>
    </xf>
    <xf numFmtId="0" fontId="3" fillId="0" borderId="0" xfId="0" applyFont="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alignment horizontal="center" vertical="center"/>
      <protection hidden="1"/>
    </xf>
    <xf numFmtId="0" fontId="0" fillId="0" borderId="0" xfId="0" applyAlignment="1" applyProtection="1">
      <alignment horizontal="left" vertical="center"/>
      <protection hidden="1"/>
    </xf>
    <xf numFmtId="14" fontId="0" fillId="0" borderId="0" xfId="0" applyNumberFormat="1" applyAlignment="1" applyProtection="1">
      <alignment horizontal="center" vertical="center"/>
      <protection hidden="1"/>
    </xf>
    <xf numFmtId="0" fontId="96" fillId="0" borderId="0" xfId="0" applyFont="1" applyAlignment="1" applyProtection="1">
      <alignment horizontal="center" vertical="center"/>
      <protection hidden="1"/>
    </xf>
    <xf numFmtId="0" fontId="91" fillId="0" borderId="0" xfId="0" applyFont="1" applyAlignment="1" applyProtection="1">
      <alignment horizontal="center" vertical="center"/>
      <protection hidden="1"/>
    </xf>
    <xf numFmtId="0" fontId="91" fillId="0" borderId="0" xfId="0" applyFont="1" applyAlignment="1" applyProtection="1">
      <alignment horizontal="left" vertical="center"/>
      <protection hidden="1"/>
    </xf>
    <xf numFmtId="0" fontId="82" fillId="3" borderId="20" xfId="0" applyFont="1" applyFill="1" applyBorder="1" applyAlignment="1" applyProtection="1">
      <alignment horizontal="center" vertical="center"/>
      <protection hidden="1"/>
    </xf>
    <xf numFmtId="0" fontId="82" fillId="3" borderId="20" xfId="0" applyFont="1" applyFill="1" applyBorder="1" applyAlignment="1" applyProtection="1">
      <alignment horizontal="center" vertical="center" wrapText="1"/>
      <protection hidden="1"/>
    </xf>
    <xf numFmtId="0" fontId="23" fillId="0" borderId="17" xfId="0" applyFont="1" applyBorder="1" applyAlignment="1" applyProtection="1">
      <alignment horizontal="center" vertical="center"/>
      <protection hidden="1"/>
    </xf>
    <xf numFmtId="0" fontId="23" fillId="0" borderId="17" xfId="0" applyFont="1" applyBorder="1" applyAlignment="1" applyProtection="1">
      <alignment horizontal="center"/>
      <protection hidden="1"/>
    </xf>
    <xf numFmtId="0" fontId="23" fillId="0" borderId="18" xfId="0" applyFont="1" applyBorder="1" applyAlignment="1" applyProtection="1">
      <alignment horizontal="center"/>
      <protection hidden="1"/>
    </xf>
    <xf numFmtId="0" fontId="23" fillId="0" borderId="40" xfId="0" applyFont="1" applyBorder="1" applyAlignment="1" applyProtection="1">
      <alignment horizontal="center" vertical="center"/>
      <protection hidden="1"/>
    </xf>
    <xf numFmtId="9" fontId="66" fillId="0" borderId="37" xfId="4" applyFont="1" applyBorder="1" applyAlignment="1" applyProtection="1">
      <alignment horizontal="center" vertical="center"/>
      <protection hidden="1"/>
    </xf>
    <xf numFmtId="9" fontId="66" fillId="0" borderId="38" xfId="4" applyFont="1" applyBorder="1" applyAlignment="1" applyProtection="1">
      <alignment horizontal="center" vertical="center"/>
      <protection hidden="1"/>
    </xf>
    <xf numFmtId="0" fontId="43" fillId="5" borderId="0" xfId="0" applyFont="1" applyFill="1" applyAlignment="1" applyProtection="1">
      <alignment vertical="center"/>
      <protection locked="0"/>
    </xf>
    <xf numFmtId="0" fontId="12" fillId="6" borderId="0" xfId="0" applyFont="1" applyFill="1" applyAlignment="1" applyProtection="1">
      <alignment vertical="center"/>
      <protection locked="0"/>
    </xf>
    <xf numFmtId="0" fontId="0" fillId="6" borderId="0" xfId="0" applyFill="1" applyAlignment="1" applyProtection="1">
      <alignment vertical="center"/>
      <protection locked="0"/>
    </xf>
    <xf numFmtId="0" fontId="43" fillId="6" borderId="0" xfId="0" applyFont="1" applyFill="1" applyAlignment="1" applyProtection="1">
      <alignment vertical="center"/>
      <protection locked="0"/>
    </xf>
    <xf numFmtId="0" fontId="43" fillId="8" borderId="0" xfId="0" applyFont="1" applyFill="1" applyAlignment="1" applyProtection="1">
      <alignment vertical="center"/>
      <protection hidden="1"/>
    </xf>
    <xf numFmtId="0" fontId="18" fillId="6" borderId="0" xfId="0" applyFont="1" applyFill="1" applyAlignment="1" applyProtection="1">
      <alignment vertical="center"/>
      <protection hidden="1"/>
    </xf>
    <xf numFmtId="0" fontId="43" fillId="0" borderId="0" xfId="0" applyFont="1" applyAlignment="1" applyProtection="1">
      <alignment vertical="center"/>
      <protection hidden="1"/>
    </xf>
    <xf numFmtId="9" fontId="51" fillId="6" borderId="0" xfId="0" applyNumberFormat="1" applyFont="1" applyFill="1" applyAlignment="1" applyProtection="1">
      <alignment vertical="center"/>
      <protection hidden="1"/>
    </xf>
    <xf numFmtId="0" fontId="43" fillId="5" borderId="0" xfId="0" applyFont="1" applyFill="1" applyAlignment="1" applyProtection="1">
      <alignment vertical="center"/>
      <protection hidden="1"/>
    </xf>
    <xf numFmtId="0" fontId="89" fillId="6" borderId="0" xfId="0" applyFont="1" applyFill="1" applyAlignment="1" applyProtection="1">
      <alignment vertical="center"/>
      <protection hidden="1"/>
    </xf>
    <xf numFmtId="0" fontId="91" fillId="0" borderId="0" xfId="0" applyFont="1" applyAlignment="1" applyProtection="1">
      <alignment vertical="center"/>
      <protection hidden="1"/>
    </xf>
    <xf numFmtId="0" fontId="82" fillId="11" borderId="0" xfId="0" applyFont="1" applyFill="1" applyAlignment="1" applyProtection="1">
      <alignment horizontal="left" vertical="center" wrapText="1"/>
      <protection hidden="1"/>
    </xf>
    <xf numFmtId="0" fontId="29" fillId="6" borderId="0" xfId="0" applyFont="1" applyFill="1" applyAlignment="1" applyProtection="1">
      <alignment vertical="center"/>
      <protection hidden="1"/>
    </xf>
    <xf numFmtId="0" fontId="70" fillId="8" borderId="0" xfId="0" applyFont="1" applyFill="1" applyAlignment="1" applyProtection="1">
      <alignment vertical="center"/>
      <protection hidden="1"/>
    </xf>
    <xf numFmtId="0" fontId="48" fillId="8" borderId="0" xfId="0" applyFont="1" applyFill="1" applyAlignment="1" applyProtection="1">
      <alignment vertical="center"/>
      <protection hidden="1"/>
    </xf>
    <xf numFmtId="0" fontId="12" fillId="5" borderId="0" xfId="0" applyFont="1" applyFill="1" applyAlignment="1" applyProtection="1">
      <alignment horizontal="left" vertical="center" indent="1"/>
      <protection hidden="1"/>
    </xf>
    <xf numFmtId="0" fontId="24" fillId="2" borderId="31" xfId="0" applyFont="1" applyFill="1" applyBorder="1" applyAlignment="1" applyProtection="1">
      <alignment horizontal="center" vertical="center"/>
      <protection hidden="1"/>
    </xf>
    <xf numFmtId="0" fontId="24"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 fillId="0" borderId="0" xfId="0" applyFont="1" applyAlignment="1" applyProtection="1">
      <alignment vertical="center"/>
      <protection locked="0"/>
    </xf>
    <xf numFmtId="0" fontId="1" fillId="0" borderId="0" xfId="0" applyFont="1" applyAlignment="1" applyProtection="1">
      <alignment horizontal="left" vertical="center"/>
      <protection locked="0"/>
    </xf>
    <xf numFmtId="0" fontId="63" fillId="0" borderId="0" xfId="0" applyFont="1" applyAlignment="1" applyProtection="1">
      <alignment horizontal="center" vertical="center"/>
      <protection locked="0"/>
    </xf>
    <xf numFmtId="0" fontId="98" fillId="0" borderId="0" xfId="1" applyFont="1" applyAlignment="1" applyProtection="1">
      <alignment vertical="center"/>
      <protection locked="0"/>
    </xf>
    <xf numFmtId="0" fontId="1" fillId="5" borderId="0" xfId="0" applyFont="1" applyFill="1" applyAlignment="1" applyProtection="1">
      <alignment vertical="center"/>
      <protection locked="0"/>
    </xf>
    <xf numFmtId="0" fontId="12" fillId="0" borderId="35" xfId="0" applyFont="1" applyBorder="1" applyAlignment="1" applyProtection="1">
      <alignment vertical="center"/>
      <protection hidden="1"/>
    </xf>
    <xf numFmtId="0" fontId="13" fillId="0" borderId="9" xfId="0" applyFont="1" applyBorder="1" applyAlignment="1" applyProtection="1">
      <alignment vertical="center"/>
      <protection hidden="1"/>
    </xf>
    <xf numFmtId="0" fontId="13" fillId="0" borderId="16" xfId="0" applyFont="1" applyBorder="1" applyAlignment="1" applyProtection="1">
      <alignment vertical="center"/>
      <protection hidden="1"/>
    </xf>
    <xf numFmtId="0" fontId="12" fillId="0" borderId="35" xfId="0" applyFont="1" applyBorder="1" applyAlignment="1" applyProtection="1">
      <alignment vertical="center"/>
      <protection locked="0"/>
    </xf>
    <xf numFmtId="0" fontId="13" fillId="0" borderId="9" xfId="0" applyFont="1" applyBorder="1" applyAlignment="1" applyProtection="1">
      <alignment vertical="center"/>
      <protection locked="0"/>
    </xf>
    <xf numFmtId="0" fontId="13" fillId="0" borderId="16" xfId="0" applyFont="1" applyBorder="1" applyAlignment="1" applyProtection="1">
      <alignment vertical="center"/>
      <protection locked="0"/>
    </xf>
    <xf numFmtId="9" fontId="13" fillId="0" borderId="0" xfId="0" applyNumberFormat="1" applyFont="1" applyAlignment="1" applyProtection="1">
      <alignment vertical="center"/>
      <protection hidden="1"/>
    </xf>
    <xf numFmtId="0" fontId="18" fillId="0" borderId="0" xfId="0" applyFont="1" applyAlignment="1" applyProtection="1">
      <alignment vertical="center"/>
      <protection hidden="1"/>
    </xf>
    <xf numFmtId="9" fontId="95" fillId="0" borderId="0" xfId="0" applyNumberFormat="1" applyFont="1" applyAlignment="1" applyProtection="1">
      <alignment horizontal="center" vertical="center"/>
      <protection hidden="1"/>
    </xf>
    <xf numFmtId="0" fontId="1" fillId="0" borderId="0" xfId="0" applyFont="1" applyAlignment="1" applyProtection="1">
      <alignment vertical="center"/>
      <protection hidden="1"/>
    </xf>
    <xf numFmtId="0" fontId="80" fillId="8" borderId="108" xfId="1" applyFont="1" applyFill="1" applyBorder="1" applyAlignment="1" applyProtection="1">
      <alignment horizontal="center" vertical="center"/>
      <protection locked="0" hidden="1"/>
    </xf>
    <xf numFmtId="0" fontId="89" fillId="4" borderId="108" xfId="1" applyFont="1" applyFill="1" applyBorder="1" applyAlignment="1" applyProtection="1">
      <alignment horizontal="center" vertical="center"/>
      <protection locked="0" hidden="1"/>
    </xf>
    <xf numFmtId="9" fontId="24" fillId="2" borderId="32" xfId="4" applyFont="1" applyFill="1" applyBorder="1" applyAlignment="1" applyProtection="1">
      <alignment horizontal="center" vertical="center"/>
      <protection hidden="1"/>
    </xf>
    <xf numFmtId="0" fontId="24" fillId="2" borderId="39" xfId="0" applyFont="1" applyFill="1" applyBorder="1" applyAlignment="1" applyProtection="1">
      <alignment horizontal="center" vertical="center"/>
      <protection hidden="1"/>
    </xf>
    <xf numFmtId="9" fontId="24" fillId="2" borderId="39" xfId="4" applyFont="1" applyFill="1" applyBorder="1" applyAlignment="1" applyProtection="1">
      <alignment horizontal="center" vertical="center"/>
      <protection hidden="1"/>
    </xf>
    <xf numFmtId="0" fontId="24" fillId="2" borderId="32" xfId="0" applyFont="1" applyFill="1" applyBorder="1" applyAlignment="1" applyProtection="1">
      <alignment horizontal="center" vertical="center"/>
      <protection hidden="1"/>
    </xf>
    <xf numFmtId="9" fontId="0" fillId="0" borderId="0" xfId="0" applyNumberFormat="1" applyAlignment="1" applyProtection="1">
      <alignment horizontal="left" vertical="center"/>
      <protection locked="0"/>
    </xf>
    <xf numFmtId="14" fontId="23" fillId="5" borderId="40" xfId="0" applyNumberFormat="1"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protection locked="0"/>
    </xf>
    <xf numFmtId="9" fontId="23" fillId="5" borderId="40" xfId="0" applyNumberFormat="1" applyFont="1" applyFill="1" applyBorder="1" applyAlignment="1" applyProtection="1">
      <alignment horizontal="center" vertical="center"/>
      <protection locked="0"/>
    </xf>
    <xf numFmtId="9" fontId="23" fillId="5" borderId="17" xfId="0" applyNumberFormat="1" applyFont="1" applyFill="1" applyBorder="1" applyAlignment="1" applyProtection="1">
      <alignment horizontal="center" vertical="center"/>
      <protection locked="0"/>
    </xf>
    <xf numFmtId="0" fontId="23" fillId="5" borderId="17" xfId="0" applyFont="1" applyFill="1" applyBorder="1" applyAlignment="1" applyProtection="1">
      <alignment horizontal="left" vertical="center" indent="1"/>
      <protection locked="0"/>
    </xf>
    <xf numFmtId="9" fontId="0" fillId="0" borderId="0" xfId="4" applyFont="1" applyAlignment="1" applyProtection="1">
      <alignment horizontal="left" vertical="center"/>
      <protection locked="0"/>
    </xf>
    <xf numFmtId="0" fontId="23" fillId="5" borderId="17" xfId="0" applyFont="1" applyFill="1" applyBorder="1" applyAlignment="1" applyProtection="1">
      <alignment horizontal="left" indent="1"/>
      <protection locked="0"/>
    </xf>
    <xf numFmtId="0" fontId="23" fillId="5" borderId="17" xfId="0" applyFont="1" applyFill="1" applyBorder="1" applyAlignment="1" applyProtection="1">
      <alignment horizontal="center"/>
      <protection locked="0"/>
    </xf>
    <xf numFmtId="9" fontId="23" fillId="5" borderId="17" xfId="0" applyNumberFormat="1" applyFont="1" applyFill="1" applyBorder="1" applyAlignment="1" applyProtection="1">
      <alignment horizontal="center"/>
      <protection locked="0"/>
    </xf>
    <xf numFmtId="0" fontId="23" fillId="5" borderId="18" xfId="0" applyFont="1" applyFill="1" applyBorder="1" applyAlignment="1" applyProtection="1">
      <alignment horizontal="left" indent="1"/>
      <protection locked="0"/>
    </xf>
    <xf numFmtId="0" fontId="23" fillId="5" borderId="18" xfId="0" applyFont="1" applyFill="1" applyBorder="1" applyAlignment="1" applyProtection="1">
      <alignment horizontal="center"/>
      <protection locked="0"/>
    </xf>
    <xf numFmtId="9" fontId="23" fillId="5" borderId="18" xfId="0" applyNumberFormat="1" applyFont="1" applyFill="1" applyBorder="1" applyAlignment="1" applyProtection="1">
      <alignment horizontal="center"/>
      <protection locked="0"/>
    </xf>
    <xf numFmtId="0" fontId="0" fillId="0" borderId="0" xfId="0" applyAlignment="1" applyProtection="1">
      <alignment horizontal="left" indent="1"/>
      <protection locked="0"/>
    </xf>
    <xf numFmtId="0" fontId="32" fillId="0" borderId="0" xfId="0" applyFont="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horizontal="center" vertical="center"/>
      <protection hidden="1"/>
    </xf>
    <xf numFmtId="14" fontId="34" fillId="0" borderId="0" xfId="0" applyNumberFormat="1" applyFont="1" applyAlignment="1" applyProtection="1">
      <alignment horizontal="center" vertical="center"/>
      <protection hidden="1"/>
    </xf>
    <xf numFmtId="0" fontId="23" fillId="5" borderId="17" xfId="0" applyFont="1" applyFill="1" applyBorder="1" applyAlignment="1" applyProtection="1">
      <alignment horizontal="center" vertical="center"/>
      <protection hidden="1"/>
    </xf>
    <xf numFmtId="0" fontId="23" fillId="5" borderId="17" xfId="0" applyFont="1" applyFill="1" applyBorder="1" applyAlignment="1" applyProtection="1">
      <alignment horizontal="center"/>
      <protection hidden="1"/>
    </xf>
    <xf numFmtId="0" fontId="23" fillId="5" borderId="18" xfId="0" applyFont="1" applyFill="1" applyBorder="1" applyAlignment="1" applyProtection="1">
      <alignment horizontal="center"/>
      <protection hidden="1"/>
    </xf>
    <xf numFmtId="0" fontId="23" fillId="5" borderId="40" xfId="0" applyFont="1" applyFill="1" applyBorder="1" applyAlignment="1" applyProtection="1">
      <alignment horizontal="center" vertical="center"/>
      <protection hidden="1"/>
    </xf>
    <xf numFmtId="9" fontId="66" fillId="5" borderId="37" xfId="4" applyFont="1" applyFill="1" applyBorder="1" applyAlignment="1" applyProtection="1">
      <alignment horizontal="center" vertical="center"/>
      <protection hidden="1"/>
    </xf>
    <xf numFmtId="9" fontId="66" fillId="5" borderId="38" xfId="4" applyFont="1" applyFill="1" applyBorder="1" applyAlignment="1" applyProtection="1">
      <alignment horizontal="center" vertical="center"/>
      <protection hidden="1"/>
    </xf>
    <xf numFmtId="0" fontId="0" fillId="0" borderId="0" xfId="0" applyAlignment="1" applyProtection="1">
      <alignment horizontal="left" wrapText="1" indent="1"/>
      <protection locked="0"/>
    </xf>
    <xf numFmtId="0" fontId="28" fillId="0" borderId="35" xfId="0" applyFont="1" applyBorder="1" applyAlignment="1" applyProtection="1">
      <alignment horizontal="center" vertical="center"/>
      <protection hidden="1"/>
    </xf>
    <xf numFmtId="0" fontId="21" fillId="0" borderId="0" xfId="0" applyFont="1" applyAlignment="1" applyProtection="1">
      <alignment horizontal="left" vertical="center" indent="1"/>
      <protection hidden="1"/>
    </xf>
    <xf numFmtId="9" fontId="0" fillId="4" borderId="1" xfId="0" applyNumberFormat="1" applyFill="1" applyBorder="1" applyAlignment="1" applyProtection="1">
      <alignment horizontal="center" vertical="center"/>
      <protection locked="0"/>
    </xf>
    <xf numFmtId="0" fontId="40" fillId="5" borderId="0" xfId="0" applyFont="1" applyFill="1" applyAlignment="1" applyProtection="1">
      <alignment vertical="center"/>
      <protection locked="0"/>
    </xf>
    <xf numFmtId="0" fontId="0" fillId="4" borderId="0" xfId="0" applyFill="1" applyAlignment="1" applyProtection="1">
      <alignment horizontal="center" vertical="center"/>
      <protection locked="0"/>
    </xf>
    <xf numFmtId="0" fontId="40" fillId="3" borderId="0" xfId="0" applyFont="1" applyFill="1" applyAlignment="1" applyProtection="1">
      <alignment horizontal="left" vertical="center" indent="1"/>
      <protection hidden="1"/>
    </xf>
    <xf numFmtId="0" fontId="40" fillId="3" borderId="0" xfId="0" applyFont="1" applyFill="1" applyAlignment="1" applyProtection="1">
      <alignment vertical="center"/>
      <protection locked="0"/>
    </xf>
    <xf numFmtId="0" fontId="67" fillId="5" borderId="2" xfId="0" applyFont="1" applyFill="1" applyBorder="1" applyAlignment="1" applyProtection="1">
      <alignment vertical="center" wrapText="1"/>
      <protection hidden="1"/>
    </xf>
    <xf numFmtId="0" fontId="67" fillId="5" borderId="2" xfId="0" applyFont="1" applyFill="1" applyBorder="1" applyAlignment="1" applyProtection="1">
      <alignment vertical="center" wrapText="1"/>
      <protection locked="0"/>
    </xf>
    <xf numFmtId="0" fontId="97" fillId="0" borderId="0" xfId="0" applyFont="1" applyAlignment="1" applyProtection="1">
      <alignment vertical="center"/>
      <protection hidden="1"/>
    </xf>
    <xf numFmtId="0" fontId="0" fillId="4" borderId="0" xfId="0" applyFill="1" applyAlignment="1" applyProtection="1">
      <alignment horizontal="center" vertical="center"/>
      <protection hidden="1"/>
    </xf>
    <xf numFmtId="0" fontId="1" fillId="5" borderId="8" xfId="0" applyFont="1" applyFill="1" applyBorder="1" applyAlignment="1" applyProtection="1">
      <alignment horizontal="left" vertical="center" indent="1"/>
      <protection locked="0"/>
    </xf>
    <xf numFmtId="0" fontId="1" fillId="6" borderId="0" xfId="0" applyFont="1" applyFill="1" applyAlignment="1" applyProtection="1">
      <alignment horizontal="left" vertical="center" indent="1"/>
      <protection locked="0"/>
    </xf>
    <xf numFmtId="0" fontId="1" fillId="5" borderId="0" xfId="0" applyFont="1" applyFill="1" applyAlignment="1" applyProtection="1">
      <alignment horizontal="left" vertical="center" indent="1"/>
      <protection locked="0"/>
    </xf>
    <xf numFmtId="6" fontId="24" fillId="0" borderId="17" xfId="0" applyNumberFormat="1" applyFont="1" applyBorder="1" applyAlignment="1" applyProtection="1">
      <alignment horizontal="center" vertical="center"/>
      <protection locked="0"/>
    </xf>
    <xf numFmtId="0" fontId="0" fillId="4" borderId="0" xfId="0" applyFill="1" applyAlignment="1" applyProtection="1">
      <alignment horizontal="left" vertical="center" indent="1"/>
      <protection locked="0"/>
    </xf>
    <xf numFmtId="0" fontId="1" fillId="6" borderId="0" xfId="0" applyFont="1" applyFill="1" applyAlignment="1" applyProtection="1">
      <alignment horizontal="left" vertical="center" wrapText="1"/>
      <protection locked="0"/>
    </xf>
    <xf numFmtId="0" fontId="0" fillId="6" borderId="0" xfId="0" applyFill="1" applyAlignment="1" applyProtection="1">
      <alignment horizontal="left" vertical="center" wrapText="1"/>
      <protection locked="0"/>
    </xf>
    <xf numFmtId="0" fontId="0" fillId="6" borderId="8" xfId="0" applyFill="1" applyBorder="1" applyAlignment="1" applyProtection="1">
      <alignment horizontal="left" vertical="center" wrapText="1"/>
      <protection locked="0"/>
    </xf>
    <xf numFmtId="0" fontId="76" fillId="3" borderId="0" xfId="0" applyFont="1" applyFill="1" applyAlignment="1" applyProtection="1">
      <alignment horizontal="left" vertical="center"/>
      <protection hidden="1"/>
    </xf>
    <xf numFmtId="0" fontId="22" fillId="0" borderId="7" xfId="0" applyFont="1" applyBorder="1" applyAlignment="1" applyProtection="1">
      <alignment horizontal="left" vertical="top"/>
      <protection hidden="1"/>
    </xf>
    <xf numFmtId="0" fontId="22" fillId="0" borderId="0" xfId="0" applyFont="1" applyAlignment="1" applyProtection="1">
      <alignment horizontal="left" vertical="top"/>
      <protection hidden="1"/>
    </xf>
    <xf numFmtId="0" fontId="80" fillId="3" borderId="7" xfId="0" applyFont="1" applyFill="1" applyBorder="1" applyAlignment="1" applyProtection="1">
      <alignment horizontal="center" vertical="center"/>
      <protection hidden="1"/>
    </xf>
    <xf numFmtId="0" fontId="24" fillId="5" borderId="71" xfId="0" applyFont="1" applyFill="1" applyBorder="1" applyAlignment="1" applyProtection="1">
      <alignment horizontal="left" vertical="center" wrapText="1" indent="1"/>
      <protection locked="0"/>
    </xf>
    <xf numFmtId="0" fontId="24" fillId="5" borderId="10" xfId="0" applyFont="1" applyFill="1" applyBorder="1" applyAlignment="1" applyProtection="1">
      <alignment horizontal="left" vertical="center" wrapText="1" indent="1"/>
      <protection locked="0"/>
    </xf>
    <xf numFmtId="0" fontId="24" fillId="5" borderId="72" xfId="0" applyFont="1" applyFill="1" applyBorder="1" applyAlignment="1" applyProtection="1">
      <alignment horizontal="left" vertical="center" wrapText="1" indent="1"/>
      <protection locked="0"/>
    </xf>
    <xf numFmtId="0" fontId="24" fillId="5" borderId="73" xfId="0" applyFont="1" applyFill="1" applyBorder="1" applyAlignment="1" applyProtection="1">
      <alignment horizontal="left" vertical="center" wrapText="1" indent="1"/>
      <protection locked="0"/>
    </xf>
    <xf numFmtId="0" fontId="24" fillId="5" borderId="11" xfId="0" applyFont="1" applyFill="1" applyBorder="1" applyAlignment="1" applyProtection="1">
      <alignment horizontal="left" vertical="center" wrapText="1" indent="1"/>
      <protection locked="0"/>
    </xf>
    <xf numFmtId="0" fontId="24" fillId="5" borderId="74" xfId="0" applyFont="1" applyFill="1" applyBorder="1" applyAlignment="1" applyProtection="1">
      <alignment horizontal="left" vertical="center" wrapText="1" indent="1"/>
      <protection locked="0"/>
    </xf>
    <xf numFmtId="0" fontId="24" fillId="5" borderId="13" xfId="0" applyFont="1" applyFill="1" applyBorder="1" applyAlignment="1" applyProtection="1">
      <alignment horizontal="left" vertical="center" wrapText="1" indent="1"/>
      <protection locked="0"/>
    </xf>
    <xf numFmtId="0" fontId="24" fillId="5" borderId="15" xfId="0" applyFont="1" applyFill="1" applyBorder="1" applyAlignment="1" applyProtection="1">
      <alignment horizontal="left" vertical="center" wrapText="1" indent="1"/>
      <protection locked="0"/>
    </xf>
    <xf numFmtId="0" fontId="80" fillId="3" borderId="69" xfId="0" applyFont="1" applyFill="1" applyBorder="1" applyAlignment="1" applyProtection="1">
      <alignment horizontal="center" vertical="center"/>
      <protection hidden="1"/>
    </xf>
    <xf numFmtId="0" fontId="80" fillId="3" borderId="70" xfId="0" applyFont="1" applyFill="1" applyBorder="1" applyAlignment="1" applyProtection="1">
      <alignment horizontal="center" vertical="center"/>
      <protection hidden="1"/>
    </xf>
    <xf numFmtId="0" fontId="24" fillId="0" borderId="23" xfId="0" applyFont="1" applyBorder="1" applyAlignment="1" applyProtection="1">
      <alignment horizontal="left" vertical="center" indent="1"/>
      <protection locked="0"/>
    </xf>
    <xf numFmtId="0" fontId="24" fillId="0" borderId="24" xfId="0" applyFont="1" applyBorder="1" applyAlignment="1" applyProtection="1">
      <alignment horizontal="left" vertical="center" indent="1"/>
      <protection locked="0"/>
    </xf>
    <xf numFmtId="0" fontId="24" fillId="0" borderId="21" xfId="0" applyFont="1" applyBorder="1" applyAlignment="1" applyProtection="1">
      <alignment horizontal="left" vertical="center" indent="1"/>
      <protection locked="0"/>
    </xf>
    <xf numFmtId="0" fontId="24" fillId="0" borderId="22" xfId="0" applyFont="1" applyBorder="1" applyAlignment="1" applyProtection="1">
      <alignment horizontal="left" vertical="center" indent="1"/>
      <protection locked="0"/>
    </xf>
    <xf numFmtId="0" fontId="24" fillId="0" borderId="21" xfId="0" applyFont="1" applyBorder="1" applyAlignment="1" applyProtection="1">
      <alignment horizontal="left" vertical="center" wrapText="1" indent="1"/>
      <protection locked="0"/>
    </xf>
    <xf numFmtId="0" fontId="24" fillId="0" borderId="22" xfId="0" applyFont="1" applyBorder="1" applyAlignment="1" applyProtection="1">
      <alignment horizontal="left" vertical="center" wrapText="1" indent="1"/>
      <protection locked="0"/>
    </xf>
    <xf numFmtId="0" fontId="24" fillId="0" borderId="23" xfId="0" applyFont="1" applyBorder="1" applyAlignment="1" applyProtection="1">
      <alignment horizontal="left" vertical="center" wrapText="1" indent="1"/>
      <protection locked="0"/>
    </xf>
    <xf numFmtId="0" fontId="24" fillId="0" borderId="24" xfId="0" applyFont="1" applyBorder="1" applyAlignment="1" applyProtection="1">
      <alignment horizontal="left" vertical="center" wrapText="1" indent="1"/>
      <protection locked="0"/>
    </xf>
    <xf numFmtId="0" fontId="24" fillId="5" borderId="23" xfId="0" applyFont="1" applyFill="1" applyBorder="1" applyAlignment="1" applyProtection="1">
      <alignment horizontal="left" vertical="center" indent="1"/>
      <protection locked="0"/>
    </xf>
    <xf numFmtId="0" fontId="24" fillId="5" borderId="24" xfId="0" applyFont="1" applyFill="1" applyBorder="1" applyAlignment="1" applyProtection="1">
      <alignment horizontal="left" vertical="center" indent="1"/>
      <protection locked="0"/>
    </xf>
    <xf numFmtId="0" fontId="80" fillId="3" borderId="20" xfId="0" applyFont="1" applyFill="1" applyBorder="1" applyAlignment="1" applyProtection="1">
      <alignment horizontal="center" vertical="center"/>
      <protection hidden="1"/>
    </xf>
    <xf numFmtId="0" fontId="71" fillId="3" borderId="7" xfId="0" applyFont="1" applyFill="1" applyBorder="1" applyAlignment="1" applyProtection="1">
      <alignment horizontal="center" vertical="center"/>
      <protection hidden="1"/>
    </xf>
    <xf numFmtId="0" fontId="71" fillId="3" borderId="20" xfId="0" applyFont="1" applyFill="1" applyBorder="1" applyAlignment="1" applyProtection="1">
      <alignment horizontal="center" vertical="center"/>
      <protection hidden="1"/>
    </xf>
    <xf numFmtId="0" fontId="79" fillId="3" borderId="7" xfId="0" applyFont="1" applyFill="1" applyBorder="1" applyAlignment="1" applyProtection="1">
      <alignment horizontal="center" vertical="center"/>
      <protection hidden="1"/>
    </xf>
    <xf numFmtId="0" fontId="26" fillId="0" borderId="29" xfId="0" applyFont="1" applyBorder="1" applyAlignment="1" applyProtection="1">
      <alignment horizontal="left" vertical="center" wrapText="1" indent="1"/>
      <protection hidden="1"/>
    </xf>
    <xf numFmtId="0" fontId="26" fillId="0" borderId="30" xfId="0" applyFont="1" applyBorder="1" applyAlignment="1" applyProtection="1">
      <alignment horizontal="left" vertical="center" wrapText="1" indent="1"/>
      <protection hidden="1"/>
    </xf>
    <xf numFmtId="0" fontId="26" fillId="0" borderId="25" xfId="0" applyFont="1" applyBorder="1" applyAlignment="1" applyProtection="1">
      <alignment horizontal="left" vertical="center" wrapText="1" indent="1"/>
      <protection hidden="1"/>
    </xf>
    <xf numFmtId="0" fontId="26" fillId="0" borderId="26" xfId="0" applyFont="1" applyBorder="1" applyAlignment="1" applyProtection="1">
      <alignment horizontal="left" vertical="center" wrapText="1" indent="1"/>
      <protection hidden="1"/>
    </xf>
    <xf numFmtId="0" fontId="26" fillId="0" borderId="36" xfId="0" applyFont="1" applyBorder="1" applyAlignment="1" applyProtection="1">
      <alignment horizontal="left" vertical="center" wrapText="1" indent="1"/>
      <protection hidden="1"/>
    </xf>
    <xf numFmtId="0" fontId="26" fillId="0" borderId="33" xfId="0" applyFont="1" applyBorder="1" applyAlignment="1" applyProtection="1">
      <alignment horizontal="left" vertical="center" wrapText="1" indent="1"/>
      <protection hidden="1"/>
    </xf>
    <xf numFmtId="0" fontId="80" fillId="3" borderId="36" xfId="0" applyFont="1" applyFill="1" applyBorder="1" applyAlignment="1" applyProtection="1">
      <alignment horizontal="center" vertical="center"/>
      <protection hidden="1"/>
    </xf>
    <xf numFmtId="0" fontId="80" fillId="3" borderId="33" xfId="0" applyFont="1" applyFill="1" applyBorder="1" applyAlignment="1" applyProtection="1">
      <alignment horizontal="center" vertical="center"/>
      <protection hidden="1"/>
    </xf>
    <xf numFmtId="0" fontId="26" fillId="0" borderId="27" xfId="0" applyFont="1" applyBorder="1" applyAlignment="1" applyProtection="1">
      <alignment horizontal="left" vertical="center" wrapText="1" indent="1"/>
      <protection hidden="1"/>
    </xf>
    <xf numFmtId="0" fontId="26" fillId="0" borderId="28" xfId="0" applyFont="1" applyBorder="1" applyAlignment="1" applyProtection="1">
      <alignment horizontal="left" vertical="center" wrapText="1" indent="1"/>
      <protection hidden="1"/>
    </xf>
    <xf numFmtId="9" fontId="65" fillId="2" borderId="0" xfId="0" applyNumberFormat="1" applyFont="1" applyFill="1" applyAlignment="1" applyProtection="1">
      <alignment horizontal="center" vertical="center"/>
      <protection hidden="1"/>
    </xf>
    <xf numFmtId="0" fontId="65" fillId="2" borderId="0" xfId="0" applyFont="1" applyFill="1" applyAlignment="1" applyProtection="1">
      <alignment horizontal="center" vertical="center"/>
      <protection hidden="1"/>
    </xf>
    <xf numFmtId="0" fontId="84" fillId="10" borderId="0" xfId="0" applyFont="1" applyFill="1" applyAlignment="1" applyProtection="1">
      <alignment horizontal="center" vertical="center"/>
      <protection hidden="1"/>
    </xf>
    <xf numFmtId="0" fontId="23" fillId="0" borderId="40" xfId="0" applyFont="1" applyBorder="1" applyAlignment="1" applyProtection="1">
      <alignment horizontal="left" vertical="center" wrapText="1" indent="1"/>
      <protection locked="0"/>
    </xf>
    <xf numFmtId="0" fontId="23" fillId="0" borderId="23" xfId="0" applyFont="1" applyBorder="1" applyAlignment="1" applyProtection="1">
      <alignment horizontal="left" vertical="center" wrapText="1" indent="1"/>
      <protection locked="0"/>
    </xf>
    <xf numFmtId="0" fontId="23" fillId="0" borderId="24" xfId="0" applyFont="1" applyBorder="1" applyAlignment="1" applyProtection="1">
      <alignment horizontal="left" vertical="center" wrapText="1" indent="1"/>
      <protection locked="0"/>
    </xf>
    <xf numFmtId="0" fontId="82" fillId="3" borderId="7" xfId="0" applyFont="1" applyFill="1" applyBorder="1" applyAlignment="1" applyProtection="1">
      <alignment horizontal="center" vertical="center"/>
      <protection hidden="1"/>
    </xf>
    <xf numFmtId="0" fontId="81" fillId="10" borderId="0" xfId="0" applyFont="1" applyFill="1" applyAlignment="1" applyProtection="1">
      <alignment horizontal="center" vertical="center"/>
      <protection hidden="1"/>
    </xf>
    <xf numFmtId="0" fontId="23" fillId="5" borderId="40" xfId="0" applyFont="1" applyFill="1" applyBorder="1" applyAlignment="1" applyProtection="1">
      <alignment horizontal="left" vertical="center" wrapText="1" indent="1"/>
      <protection locked="0"/>
    </xf>
    <xf numFmtId="0" fontId="82" fillId="3" borderId="20" xfId="0" applyFont="1" applyFill="1" applyBorder="1" applyAlignment="1" applyProtection="1">
      <alignment horizontal="center" vertical="center"/>
      <protection hidden="1"/>
    </xf>
    <xf numFmtId="0" fontId="86" fillId="10" borderId="0" xfId="0" applyFont="1" applyFill="1" applyAlignment="1" applyProtection="1">
      <alignment horizontal="left" vertical="center" wrapText="1" indent="1"/>
      <protection hidden="1"/>
    </xf>
    <xf numFmtId="0" fontId="82" fillId="11" borderId="0" xfId="0" applyFont="1" applyFill="1" applyAlignment="1" applyProtection="1">
      <alignment horizontal="center" vertical="center"/>
      <protection hidden="1"/>
    </xf>
    <xf numFmtId="0" fontId="41" fillId="6" borderId="0" xfId="0" applyFont="1" applyFill="1" applyAlignment="1" applyProtection="1">
      <alignment horizontal="center" vertical="center" wrapText="1"/>
      <protection hidden="1"/>
    </xf>
    <xf numFmtId="0" fontId="85" fillId="6" borderId="0" xfId="0" applyFont="1" applyFill="1" applyAlignment="1" applyProtection="1">
      <alignment horizontal="left" vertical="center"/>
      <protection hidden="1"/>
    </xf>
    <xf numFmtId="0" fontId="86" fillId="10" borderId="0" xfId="0" applyFont="1" applyFill="1" applyAlignment="1" applyProtection="1">
      <alignment horizontal="left" vertical="center" wrapText="1"/>
      <protection hidden="1"/>
    </xf>
    <xf numFmtId="0" fontId="84" fillId="3" borderId="0" xfId="0" applyFont="1" applyFill="1" applyAlignment="1" applyProtection="1">
      <alignment horizontal="center" vertical="center"/>
      <protection hidden="1"/>
    </xf>
    <xf numFmtId="0" fontId="28" fillId="6" borderId="0" xfId="0" applyFont="1" applyFill="1" applyAlignment="1" applyProtection="1">
      <alignment horizontal="right" vertical="center"/>
      <protection hidden="1"/>
    </xf>
    <xf numFmtId="0" fontId="88" fillId="3" borderId="98" xfId="0" applyFont="1" applyFill="1" applyBorder="1" applyAlignment="1" applyProtection="1">
      <alignment horizontal="center" vertical="center"/>
      <protection hidden="1"/>
    </xf>
    <xf numFmtId="0" fontId="88" fillId="3" borderId="79" xfId="0" applyFont="1" applyFill="1" applyBorder="1" applyAlignment="1" applyProtection="1">
      <alignment horizontal="center" vertical="center"/>
      <protection hidden="1"/>
    </xf>
    <xf numFmtId="0" fontId="88" fillId="3" borderId="78" xfId="0" applyFont="1" applyFill="1" applyBorder="1" applyAlignment="1" applyProtection="1">
      <alignment horizontal="center" vertical="center"/>
      <protection hidden="1"/>
    </xf>
    <xf numFmtId="0" fontId="88" fillId="3" borderId="0" xfId="0" applyFont="1" applyFill="1" applyAlignment="1" applyProtection="1">
      <alignment horizontal="center" vertical="center"/>
      <protection hidden="1"/>
    </xf>
    <xf numFmtId="0" fontId="83" fillId="3" borderId="0" xfId="0" applyFont="1" applyFill="1" applyAlignment="1" applyProtection="1">
      <alignment horizontal="center" vertical="center"/>
      <protection hidden="1"/>
    </xf>
    <xf numFmtId="0" fontId="90" fillId="3" borderId="77" xfId="0" applyFont="1" applyFill="1" applyBorder="1" applyAlignment="1" applyProtection="1">
      <alignment horizontal="center" vertical="center"/>
      <protection hidden="1"/>
    </xf>
    <xf numFmtId="0" fontId="90" fillId="3" borderId="0" xfId="0" applyFont="1" applyFill="1" applyAlignment="1" applyProtection="1">
      <alignment horizontal="center" vertical="center"/>
      <protection hidden="1"/>
    </xf>
    <xf numFmtId="9" fontId="55" fillId="5" borderId="100" xfId="4" applyFont="1" applyFill="1" applyBorder="1" applyAlignment="1" applyProtection="1">
      <alignment horizontal="center" vertical="center"/>
      <protection hidden="1"/>
    </xf>
    <xf numFmtId="9" fontId="55" fillId="5" borderId="99" xfId="4" applyFont="1" applyFill="1" applyBorder="1" applyAlignment="1" applyProtection="1">
      <alignment horizontal="center" vertical="center"/>
      <protection hidden="1"/>
    </xf>
    <xf numFmtId="0" fontId="55" fillId="5" borderId="100" xfId="0" applyFont="1" applyFill="1" applyBorder="1" applyAlignment="1" applyProtection="1">
      <alignment horizontal="center" vertical="center"/>
      <protection hidden="1"/>
    </xf>
    <xf numFmtId="0" fontId="55" fillId="5" borderId="99" xfId="0" applyFont="1" applyFill="1" applyBorder="1" applyAlignment="1" applyProtection="1">
      <alignment horizontal="center" vertical="center"/>
      <protection hidden="1"/>
    </xf>
    <xf numFmtId="37" fontId="53" fillId="5" borderId="0" xfId="7" applyNumberFormat="1" applyFont="1" applyFill="1" applyBorder="1" applyAlignment="1" applyProtection="1">
      <alignment horizontal="center" vertical="center"/>
      <protection hidden="1"/>
    </xf>
    <xf numFmtId="37" fontId="53" fillId="5" borderId="97" xfId="7" applyNumberFormat="1" applyFont="1" applyFill="1" applyBorder="1" applyAlignment="1" applyProtection="1">
      <alignment horizontal="center" vertical="center"/>
      <protection hidden="1"/>
    </xf>
    <xf numFmtId="37" fontId="53" fillId="5" borderId="103" xfId="7" applyNumberFormat="1" applyFont="1" applyFill="1" applyBorder="1" applyAlignment="1" applyProtection="1">
      <alignment horizontal="center" vertical="center"/>
      <protection hidden="1"/>
    </xf>
    <xf numFmtId="37" fontId="53" fillId="5" borderId="102" xfId="7" applyNumberFormat="1" applyFont="1" applyFill="1" applyBorder="1" applyAlignment="1" applyProtection="1">
      <alignment horizontal="center" vertical="center"/>
      <protection hidden="1"/>
    </xf>
    <xf numFmtId="3" fontId="52" fillId="5" borderId="101" xfId="4" applyNumberFormat="1" applyFont="1" applyFill="1" applyBorder="1" applyAlignment="1" applyProtection="1">
      <alignment horizontal="center" vertical="center"/>
      <protection hidden="1"/>
    </xf>
    <xf numFmtId="3" fontId="52" fillId="5" borderId="97" xfId="4" applyNumberFormat="1" applyFont="1" applyFill="1" applyBorder="1" applyAlignment="1" applyProtection="1">
      <alignment horizontal="center" vertical="center"/>
      <protection hidden="1"/>
    </xf>
    <xf numFmtId="3" fontId="52" fillId="5" borderId="105" xfId="4" applyNumberFormat="1" applyFont="1" applyFill="1" applyBorder="1" applyAlignment="1" applyProtection="1">
      <alignment horizontal="center" vertical="center"/>
      <protection hidden="1"/>
    </xf>
    <xf numFmtId="3" fontId="52" fillId="5" borderId="102" xfId="4" applyNumberFormat="1" applyFont="1" applyFill="1" applyBorder="1" applyAlignment="1" applyProtection="1">
      <alignment horizontal="center" vertical="center"/>
      <protection hidden="1"/>
    </xf>
    <xf numFmtId="0" fontId="54" fillId="5" borderId="100" xfId="0" applyFont="1" applyFill="1" applyBorder="1" applyAlignment="1" applyProtection="1">
      <alignment horizontal="center" vertical="center"/>
      <protection hidden="1"/>
    </xf>
    <xf numFmtId="0" fontId="54" fillId="5" borderId="99" xfId="0" applyFont="1" applyFill="1" applyBorder="1" applyAlignment="1" applyProtection="1">
      <alignment horizontal="center" vertical="center"/>
      <protection hidden="1"/>
    </xf>
    <xf numFmtId="9" fontId="54" fillId="5" borderId="100" xfId="4" applyFont="1" applyFill="1" applyBorder="1" applyAlignment="1" applyProtection="1">
      <alignment horizontal="center" vertical="center"/>
      <protection hidden="1"/>
    </xf>
    <xf numFmtId="9" fontId="54" fillId="5" borderId="99" xfId="4" applyFont="1" applyFill="1" applyBorder="1" applyAlignment="1" applyProtection="1">
      <alignment horizontal="center" vertical="center"/>
      <protection hidden="1"/>
    </xf>
    <xf numFmtId="0" fontId="90" fillId="3" borderId="78" xfId="0" applyFont="1" applyFill="1" applyBorder="1" applyAlignment="1" applyProtection="1">
      <alignment horizontal="center" vertical="center"/>
      <protection hidden="1"/>
    </xf>
    <xf numFmtId="0" fontId="82" fillId="3" borderId="0" xfId="0" applyFont="1" applyFill="1" applyAlignment="1" applyProtection="1">
      <alignment horizontal="center" vertical="center"/>
      <protection hidden="1"/>
    </xf>
    <xf numFmtId="9" fontId="54" fillId="5" borderId="107" xfId="0" applyNumberFormat="1" applyFont="1" applyFill="1" applyBorder="1" applyAlignment="1" applyProtection="1">
      <alignment horizontal="center" vertical="center"/>
      <protection hidden="1"/>
    </xf>
    <xf numFmtId="0" fontId="54" fillId="5" borderId="107" xfId="0" applyFont="1" applyFill="1" applyBorder="1" applyAlignment="1" applyProtection="1">
      <alignment horizontal="center" vertical="center"/>
      <protection hidden="1"/>
    </xf>
    <xf numFmtId="0" fontId="54" fillId="5" borderId="104" xfId="0" applyFont="1" applyFill="1" applyBorder="1" applyAlignment="1" applyProtection="1">
      <alignment horizontal="center" vertical="center"/>
      <protection hidden="1"/>
    </xf>
    <xf numFmtId="0" fontId="55" fillId="5" borderId="104" xfId="0" applyFont="1" applyFill="1" applyBorder="1" applyAlignment="1" applyProtection="1">
      <alignment horizontal="center" vertical="center"/>
      <protection hidden="1"/>
    </xf>
    <xf numFmtId="9" fontId="55" fillId="5" borderId="104" xfId="4" applyFont="1" applyFill="1" applyBorder="1" applyAlignment="1" applyProtection="1">
      <alignment horizontal="center" vertical="center"/>
      <protection hidden="1"/>
    </xf>
    <xf numFmtId="0" fontId="54" fillId="5" borderId="101" xfId="0" applyFont="1" applyFill="1" applyBorder="1" applyAlignment="1" applyProtection="1">
      <alignment horizontal="center" vertical="center"/>
      <protection hidden="1"/>
    </xf>
    <xf numFmtId="0" fontId="54" fillId="5" borderId="0" xfId="0" applyFont="1" applyFill="1" applyAlignment="1" applyProtection="1">
      <alignment horizontal="center" vertical="center"/>
      <protection hidden="1"/>
    </xf>
    <xf numFmtId="0" fontId="54" fillId="5" borderId="105" xfId="0" applyFont="1" applyFill="1" applyBorder="1" applyAlignment="1" applyProtection="1">
      <alignment horizontal="center" vertical="center"/>
      <protection hidden="1"/>
    </xf>
    <xf numFmtId="0" fontId="54" fillId="5" borderId="103" xfId="0" applyFont="1" applyFill="1" applyBorder="1" applyAlignment="1" applyProtection="1">
      <alignment horizontal="center" vertical="center"/>
      <protection hidden="1"/>
    </xf>
    <xf numFmtId="9" fontId="54" fillId="5" borderId="78" xfId="4" applyFont="1" applyFill="1" applyBorder="1" applyAlignment="1" applyProtection="1">
      <alignment horizontal="center" vertical="center"/>
      <protection hidden="1"/>
    </xf>
    <xf numFmtId="9" fontId="54" fillId="5" borderId="97" xfId="4" applyFont="1" applyFill="1" applyBorder="1" applyAlignment="1" applyProtection="1">
      <alignment horizontal="center" vertical="center"/>
      <protection hidden="1"/>
    </xf>
    <xf numFmtId="9" fontId="54" fillId="5" borderId="106" xfId="4" applyFont="1" applyFill="1" applyBorder="1" applyAlignment="1" applyProtection="1">
      <alignment horizontal="center" vertical="center"/>
      <protection hidden="1"/>
    </xf>
    <xf numFmtId="9" fontId="54" fillId="5" borderId="102" xfId="4" applyFont="1" applyFill="1" applyBorder="1" applyAlignment="1" applyProtection="1">
      <alignment horizontal="center" vertical="center"/>
      <protection hidden="1"/>
    </xf>
    <xf numFmtId="0" fontId="82" fillId="3" borderId="0" xfId="0" applyFont="1" applyFill="1" applyAlignment="1" applyProtection="1">
      <alignment horizontal="center" wrapText="1"/>
      <protection hidden="1"/>
    </xf>
    <xf numFmtId="0" fontId="92" fillId="3" borderId="0" xfId="0" applyFont="1" applyFill="1" applyAlignment="1" applyProtection="1">
      <alignment horizontal="center" vertical="top" wrapText="1"/>
      <protection hidden="1"/>
    </xf>
    <xf numFmtId="0" fontId="40" fillId="3" borderId="76" xfId="0" applyFont="1" applyFill="1" applyBorder="1" applyAlignment="1" applyProtection="1">
      <alignment horizontal="center" vertical="center"/>
      <protection hidden="1"/>
    </xf>
    <xf numFmtId="9" fontId="54" fillId="5" borderId="100" xfId="0" applyNumberFormat="1" applyFont="1" applyFill="1" applyBorder="1" applyAlignment="1" applyProtection="1">
      <alignment horizontal="center" vertical="center"/>
      <protection hidden="1"/>
    </xf>
    <xf numFmtId="9" fontId="54" fillId="5" borderId="104" xfId="0" applyNumberFormat="1" applyFont="1" applyFill="1" applyBorder="1" applyAlignment="1" applyProtection="1">
      <alignment horizontal="center" vertical="center"/>
      <protection hidden="1"/>
    </xf>
    <xf numFmtId="0" fontId="82" fillId="3" borderId="76" xfId="0" applyFont="1" applyFill="1" applyBorder="1" applyAlignment="1" applyProtection="1">
      <alignment horizontal="center" vertical="center"/>
      <protection hidden="1"/>
    </xf>
    <xf numFmtId="3" fontId="38" fillId="5" borderId="0" xfId="0" applyNumberFormat="1" applyFont="1" applyFill="1" applyAlignment="1" applyProtection="1">
      <alignment horizontal="center" vertical="center"/>
      <protection hidden="1"/>
    </xf>
    <xf numFmtId="9" fontId="38" fillId="5" borderId="0" xfId="0" applyNumberFormat="1" applyFont="1" applyFill="1" applyAlignment="1" applyProtection="1">
      <alignment horizontal="center" vertical="center"/>
      <protection hidden="1"/>
    </xf>
    <xf numFmtId="0" fontId="38" fillId="5" borderId="0" xfId="0" applyFont="1" applyFill="1" applyAlignment="1" applyProtection="1">
      <alignment horizontal="center" vertical="center"/>
      <protection hidden="1"/>
    </xf>
    <xf numFmtId="165" fontId="38" fillId="5" borderId="0" xfId="4" applyNumberFormat="1" applyFont="1" applyFill="1" applyAlignment="1" applyProtection="1">
      <alignment horizontal="center" vertical="center"/>
      <protection hidden="1"/>
    </xf>
    <xf numFmtId="0" fontId="0" fillId="0" borderId="11" xfId="0" applyBorder="1" applyAlignment="1" applyProtection="1">
      <alignment horizontal="center" vertical="center"/>
      <protection hidden="1"/>
    </xf>
    <xf numFmtId="165" fontId="0" fillId="0" borderId="10" xfId="4" applyNumberFormat="1" applyFont="1" applyBorder="1" applyAlignment="1" applyProtection="1">
      <alignment horizontal="center" vertical="center"/>
      <protection hidden="1"/>
    </xf>
    <xf numFmtId="165" fontId="0" fillId="0" borderId="11" xfId="4" applyNumberFormat="1" applyFont="1" applyBorder="1" applyAlignment="1" applyProtection="1">
      <alignment horizontal="center" vertical="center"/>
      <protection hidden="1"/>
    </xf>
    <xf numFmtId="165" fontId="64" fillId="5" borderId="11" xfId="4" applyNumberFormat="1" applyFont="1" applyFill="1" applyBorder="1" applyAlignment="1" applyProtection="1">
      <alignment horizontal="center" vertical="center"/>
      <protection hidden="1"/>
    </xf>
    <xf numFmtId="165" fontId="64" fillId="5" borderId="90" xfId="4" applyNumberFormat="1" applyFont="1" applyFill="1" applyBorder="1" applyAlignment="1" applyProtection="1">
      <alignment horizontal="center" vertical="center"/>
      <protection hidden="1"/>
    </xf>
    <xf numFmtId="0" fontId="4" fillId="5" borderId="11" xfId="0" applyFont="1" applyFill="1" applyBorder="1" applyAlignment="1" applyProtection="1">
      <alignment horizontal="center" vertical="center"/>
      <protection hidden="1"/>
    </xf>
    <xf numFmtId="0" fontId="4" fillId="5" borderId="90" xfId="0" applyFont="1" applyFill="1" applyBorder="1" applyAlignment="1" applyProtection="1">
      <alignment horizontal="center" vertical="center"/>
      <protection hidden="1"/>
    </xf>
    <xf numFmtId="9" fontId="4" fillId="5" borderId="11" xfId="0" applyNumberFormat="1" applyFont="1" applyFill="1" applyBorder="1" applyAlignment="1" applyProtection="1">
      <alignment horizontal="center" vertical="center"/>
      <protection hidden="1"/>
    </xf>
    <xf numFmtId="9" fontId="4" fillId="5" borderId="90" xfId="0" applyNumberFormat="1" applyFont="1" applyFill="1" applyBorder="1" applyAlignment="1" applyProtection="1">
      <alignment horizontal="center" vertical="center"/>
      <protection hidden="1"/>
    </xf>
    <xf numFmtId="165" fontId="0" fillId="0" borderId="90" xfId="4" applyNumberFormat="1" applyFont="1" applyBorder="1" applyAlignment="1" applyProtection="1">
      <alignment horizontal="center" vertical="center"/>
      <protection hidden="1"/>
    </xf>
    <xf numFmtId="0" fontId="4" fillId="5" borderId="89" xfId="0" applyFont="1" applyFill="1" applyBorder="1" applyAlignment="1" applyProtection="1">
      <alignment horizontal="center" vertical="center"/>
      <protection hidden="1"/>
    </xf>
    <xf numFmtId="165" fontId="64" fillId="5" borderId="10" xfId="4" applyNumberFormat="1" applyFont="1" applyFill="1" applyBorder="1" applyAlignment="1" applyProtection="1">
      <alignment horizontal="center" vertical="center"/>
      <protection hidden="1"/>
    </xf>
    <xf numFmtId="0" fontId="94" fillId="3" borderId="86" xfId="0" applyFont="1" applyFill="1" applyBorder="1" applyAlignment="1" applyProtection="1">
      <alignment horizontal="center" vertical="center" wrapText="1"/>
      <protection hidden="1"/>
    </xf>
    <xf numFmtId="0" fontId="94" fillId="3" borderId="87" xfId="0" applyFont="1" applyFill="1" applyBorder="1" applyAlignment="1" applyProtection="1">
      <alignment horizontal="center" vertical="center" wrapText="1"/>
      <protection hidden="1"/>
    </xf>
    <xf numFmtId="0" fontId="94" fillId="3" borderId="0" xfId="0" applyFont="1" applyFill="1" applyAlignment="1" applyProtection="1">
      <alignment horizontal="center" vertical="center" wrapText="1"/>
      <protection hidden="1"/>
    </xf>
    <xf numFmtId="0" fontId="94" fillId="3" borderId="7" xfId="0" applyFont="1" applyFill="1" applyBorder="1" applyAlignment="1" applyProtection="1">
      <alignment horizontal="center" vertical="center" wrapText="1"/>
      <protection hidden="1"/>
    </xf>
    <xf numFmtId="9" fontId="4" fillId="5" borderId="10" xfId="0" applyNumberFormat="1" applyFont="1" applyFill="1" applyBorder="1" applyAlignment="1" applyProtection="1">
      <alignment horizontal="center" vertical="center"/>
      <protection hidden="1"/>
    </xf>
    <xf numFmtId="165" fontId="4" fillId="5" borderId="11" xfId="4" applyNumberFormat="1" applyFont="1" applyFill="1" applyBorder="1" applyAlignment="1" applyProtection="1">
      <alignment horizontal="center" vertical="center"/>
      <protection hidden="1"/>
    </xf>
    <xf numFmtId="165" fontId="4" fillId="5" borderId="90" xfId="4" applyNumberFormat="1" applyFont="1" applyFill="1" applyBorder="1" applyAlignment="1" applyProtection="1">
      <alignment horizontal="center" vertical="center"/>
      <protection hidden="1"/>
    </xf>
    <xf numFmtId="165" fontId="64" fillId="5" borderId="93" xfId="4" applyNumberFormat="1" applyFont="1" applyFill="1" applyBorder="1" applyAlignment="1" applyProtection="1">
      <alignment horizontal="center" vertical="center"/>
      <protection hidden="1"/>
    </xf>
    <xf numFmtId="165" fontId="64" fillId="5" borderId="94" xfId="4" applyNumberFormat="1" applyFont="1" applyFill="1" applyBorder="1" applyAlignment="1" applyProtection="1">
      <alignment horizontal="center" vertical="center"/>
      <protection hidden="1"/>
    </xf>
    <xf numFmtId="0" fontId="4" fillId="5" borderId="88" xfId="0" applyFont="1" applyFill="1" applyBorder="1" applyAlignment="1" applyProtection="1">
      <alignment horizontal="center" vertical="center"/>
      <protection hidden="1"/>
    </xf>
    <xf numFmtId="0" fontId="4" fillId="5" borderId="10" xfId="0" applyFont="1" applyFill="1" applyBorder="1" applyAlignment="1" applyProtection="1">
      <alignment horizontal="center" vertical="center"/>
      <protection hidden="1"/>
    </xf>
    <xf numFmtId="0" fontId="4" fillId="5" borderId="11" xfId="0" applyFont="1" applyFill="1" applyBorder="1" applyAlignment="1" applyProtection="1">
      <alignment horizontal="left" vertical="center"/>
      <protection hidden="1"/>
    </xf>
    <xf numFmtId="0" fontId="4" fillId="5" borderId="90" xfId="0" applyFont="1" applyFill="1" applyBorder="1" applyAlignment="1" applyProtection="1">
      <alignment horizontal="left" vertical="center"/>
      <protection hidden="1"/>
    </xf>
    <xf numFmtId="0" fontId="0" fillId="0" borderId="90" xfId="0" applyBorder="1" applyAlignment="1" applyProtection="1">
      <alignment horizontal="center" vertical="center"/>
      <protection hidden="1"/>
    </xf>
    <xf numFmtId="0" fontId="4" fillId="5" borderId="91" xfId="0" applyFont="1" applyFill="1" applyBorder="1" applyAlignment="1" applyProtection="1">
      <alignment horizontal="center" vertical="center"/>
      <protection hidden="1"/>
    </xf>
    <xf numFmtId="0" fontId="94" fillId="3" borderId="95" xfId="0" applyFont="1" applyFill="1" applyBorder="1" applyAlignment="1" applyProtection="1">
      <alignment horizontal="center" vertical="center" wrapText="1"/>
      <protection hidden="1"/>
    </xf>
    <xf numFmtId="0" fontId="94" fillId="3" borderId="96" xfId="0" applyFont="1" applyFill="1" applyBorder="1" applyAlignment="1" applyProtection="1">
      <alignment horizontal="center" vertical="center" wrapText="1"/>
      <protection hidden="1"/>
    </xf>
    <xf numFmtId="165" fontId="4" fillId="5" borderId="10" xfId="4" applyNumberFormat="1" applyFont="1" applyFill="1" applyBorder="1" applyAlignment="1" applyProtection="1">
      <alignment horizontal="center" vertical="center"/>
      <protection hidden="1"/>
    </xf>
    <xf numFmtId="165" fontId="64" fillId="5" borderId="92" xfId="4" applyNumberFormat="1" applyFont="1" applyFill="1" applyBorder="1" applyAlignment="1" applyProtection="1">
      <alignment horizontal="center" vertical="center"/>
      <protection hidden="1"/>
    </xf>
    <xf numFmtId="0" fontId="4" fillId="5" borderId="10" xfId="0" applyFont="1" applyFill="1" applyBorder="1" applyAlignment="1" applyProtection="1">
      <alignment horizontal="left" vertical="center"/>
      <protection hidden="1"/>
    </xf>
    <xf numFmtId="0" fontId="94" fillId="3" borderId="0" xfId="0" applyFont="1" applyFill="1" applyAlignment="1" applyProtection="1">
      <alignment horizontal="center" vertical="center"/>
      <protection hidden="1"/>
    </xf>
    <xf numFmtId="0" fontId="94" fillId="3" borderId="7" xfId="0" applyFont="1" applyFill="1"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32" fillId="0" borderId="58" xfId="0" applyFont="1" applyBorder="1" applyAlignment="1" applyProtection="1">
      <alignment horizontal="left" vertical="center" wrapText="1" indent="1"/>
      <protection hidden="1"/>
    </xf>
    <xf numFmtId="0" fontId="32" fillId="0" borderId="0" xfId="0" applyFont="1" applyAlignment="1" applyProtection="1">
      <alignment horizontal="left" vertical="center" wrapText="1" indent="1"/>
      <protection hidden="1"/>
    </xf>
    <xf numFmtId="0" fontId="29" fillId="2" borderId="83" xfId="0" applyFont="1" applyFill="1" applyBorder="1" applyAlignment="1" applyProtection="1">
      <alignment horizontal="left" vertical="center" indent="1"/>
      <protection hidden="1"/>
    </xf>
    <xf numFmtId="0" fontId="29" fillId="2" borderId="84" xfId="0" applyFont="1" applyFill="1" applyBorder="1" applyAlignment="1" applyProtection="1">
      <alignment horizontal="left" vertical="center" indent="1"/>
      <protection hidden="1"/>
    </xf>
    <xf numFmtId="0" fontId="29" fillId="2" borderId="85" xfId="0" applyFont="1" applyFill="1" applyBorder="1" applyAlignment="1" applyProtection="1">
      <alignment horizontal="left" vertical="center" indent="1"/>
      <protection hidden="1"/>
    </xf>
    <xf numFmtId="0" fontId="83" fillId="3" borderId="0" xfId="0" applyFont="1" applyFill="1" applyAlignment="1" applyProtection="1">
      <alignment horizontal="left" vertical="center" wrapText="1" indent="1"/>
      <protection hidden="1"/>
    </xf>
    <xf numFmtId="0" fontId="83" fillId="3" borderId="82" xfId="0" applyFont="1" applyFill="1" applyBorder="1" applyAlignment="1" applyProtection="1">
      <alignment horizontal="left" vertical="center" wrapText="1" indent="1"/>
      <protection hidden="1"/>
    </xf>
    <xf numFmtId="0" fontId="59" fillId="0" borderId="0" xfId="0" applyFont="1" applyAlignment="1" applyProtection="1">
      <alignment horizontal="left" vertical="center" wrapText="1"/>
      <protection hidden="1"/>
    </xf>
    <xf numFmtId="0" fontId="32" fillId="0" borderId="8" xfId="0" applyFont="1" applyBorder="1" applyAlignment="1" applyProtection="1">
      <alignment horizontal="left" vertical="center" wrapText="1" indent="1"/>
      <protection hidden="1"/>
    </xf>
    <xf numFmtId="0" fontId="62" fillId="5" borderId="81" xfId="0" applyFont="1" applyFill="1" applyBorder="1" applyAlignment="1" applyProtection="1">
      <alignment horizontal="center" vertical="center" wrapText="1"/>
      <protection hidden="1"/>
    </xf>
    <xf numFmtId="0" fontId="62" fillId="5" borderId="0" xfId="0" applyFont="1" applyFill="1" applyAlignment="1" applyProtection="1">
      <alignment horizontal="center" vertical="center" wrapText="1"/>
      <protection hidden="1"/>
    </xf>
    <xf numFmtId="0" fontId="28" fillId="5" borderId="0" xfId="0" applyFont="1" applyFill="1" applyAlignment="1" applyProtection="1">
      <alignment horizontal="center" vertical="top" wrapText="1"/>
      <protection hidden="1"/>
    </xf>
    <xf numFmtId="0" fontId="93" fillId="0" borderId="0" xfId="0" applyFont="1" applyAlignment="1" applyProtection="1">
      <alignment horizontal="left" vertical="center"/>
      <protection hidden="1"/>
    </xf>
    <xf numFmtId="0" fontId="57" fillId="3" borderId="0" xfId="0" applyFont="1" applyFill="1" applyAlignment="1" applyProtection="1">
      <alignment horizontal="center" vertical="center"/>
      <protection hidden="1"/>
    </xf>
    <xf numFmtId="0" fontId="83" fillId="3" borderId="80" xfId="0" applyFont="1" applyFill="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28" fillId="0" borderId="0" xfId="0" applyFont="1" applyAlignment="1" applyProtection="1">
      <alignment horizontal="left" vertical="top" wrapText="1"/>
      <protection hidden="1"/>
    </xf>
    <xf numFmtId="0" fontId="29" fillId="2" borderId="57" xfId="0" applyFont="1" applyFill="1" applyBorder="1" applyAlignment="1">
      <alignment horizontal="right"/>
    </xf>
    <xf numFmtId="0" fontId="29" fillId="2" borderId="50" xfId="0" applyFont="1" applyFill="1" applyBorder="1" applyAlignment="1">
      <alignment horizontal="right"/>
    </xf>
  </cellXfs>
  <cellStyles count="8">
    <cellStyle name="Hipervínculo" xfId="1" builtinId="8"/>
    <cellStyle name="Millares" xfId="7" builtinId="3"/>
    <cellStyle name="Normal" xfId="0" builtinId="0"/>
    <cellStyle name="Normal 2" xfId="2" xr:uid="{00000000-0005-0000-0000-000003000000}"/>
    <cellStyle name="Normal 2 2" xfId="5" xr:uid="{36EAE4E7-021D-4D93-ACF9-835B593EA0C7}"/>
    <cellStyle name="Porcentagem 2" xfId="3" xr:uid="{00000000-0005-0000-0000-000005000000}"/>
    <cellStyle name="Porcentagem 2 2" xfId="6" xr:uid="{AAD685DA-E3AD-451E-A772-6D32AD7BB5F1}"/>
    <cellStyle name="Porcentaje" xfId="4" builtinId="5"/>
  </cellStyles>
  <dxfs count="1125">
    <dxf>
      <font>
        <color rgb="FF55B03E"/>
      </font>
    </dxf>
    <dxf>
      <font>
        <color rgb="FFF2C80F"/>
      </font>
    </dxf>
    <dxf>
      <font>
        <color rgb="FFDE7370"/>
      </font>
    </dxf>
    <dxf>
      <font>
        <color theme="0" tint="-0.14996795556505021"/>
      </font>
    </dxf>
    <dxf>
      <font>
        <color rgb="FF55B03E"/>
      </font>
    </dxf>
    <dxf>
      <font>
        <color rgb="FFDE7370"/>
      </font>
    </dxf>
    <dxf>
      <font>
        <color theme="0" tint="-0.14996795556505021"/>
      </font>
    </dxf>
    <dxf>
      <font>
        <color rgb="FF55B03E"/>
      </font>
    </dxf>
    <dxf>
      <font>
        <color rgb="FFDE7370"/>
      </font>
    </dxf>
    <dxf>
      <font>
        <color theme="0" tint="-0.14996795556505021"/>
      </font>
    </dxf>
    <dxf>
      <font>
        <color rgb="FF01B1A3"/>
      </font>
    </dxf>
    <dxf>
      <font>
        <color rgb="FFDE7370"/>
      </font>
    </dxf>
    <dxf>
      <font>
        <color theme="0" tint="-0.14996795556505021"/>
      </font>
    </dxf>
    <dxf>
      <font>
        <color rgb="FF01B1A3"/>
      </font>
    </dxf>
    <dxf>
      <font>
        <color rgb="FFDE7370"/>
      </font>
    </dxf>
    <dxf>
      <font>
        <color theme="0" tint="-0.14996795556505021"/>
      </font>
    </dxf>
    <dxf>
      <font>
        <color rgb="FF01B1A3"/>
      </font>
    </dxf>
    <dxf>
      <font>
        <color rgb="FFDE7370"/>
      </font>
    </dxf>
    <dxf>
      <font>
        <color theme="0" tint="-0.14996795556505021"/>
      </font>
    </dxf>
    <dxf>
      <font>
        <color rgb="FF01B1A3"/>
      </font>
    </dxf>
    <dxf>
      <font>
        <color rgb="FFDE7370"/>
      </font>
    </dxf>
    <dxf>
      <font>
        <color theme="0" tint="-0.14996795556505021"/>
      </font>
    </dxf>
    <dxf>
      <font>
        <color rgb="FF01B1A3"/>
      </font>
    </dxf>
    <dxf>
      <font>
        <color rgb="FFDE7370"/>
      </font>
    </dxf>
    <dxf>
      <font>
        <color theme="0" tint="-0.14996795556505021"/>
      </font>
    </dxf>
    <dxf>
      <font>
        <color theme="0" tint="-0.14996795556505021"/>
      </font>
    </dxf>
    <dxf>
      <font>
        <color rgb="FFDE7370"/>
      </font>
    </dxf>
    <dxf>
      <font>
        <color rgb="FF01B1A3"/>
      </font>
    </dxf>
    <dxf>
      <font>
        <color rgb="FF01B1A3"/>
      </font>
    </dxf>
    <dxf>
      <font>
        <color rgb="FFDE7370"/>
      </font>
    </dxf>
    <dxf>
      <font>
        <color rgb="FF01B1A3"/>
      </font>
    </dxf>
    <dxf>
      <font>
        <color rgb="FFDE7370"/>
      </font>
    </dxf>
    <dxf>
      <font>
        <color rgb="FF01B1A3"/>
      </font>
    </dxf>
    <dxf>
      <font>
        <color rgb="FFDE7370"/>
      </font>
    </dxf>
    <dxf>
      <font>
        <color rgb="FFDE7370"/>
      </font>
    </dxf>
    <dxf>
      <font>
        <color rgb="FF01B1A3"/>
      </font>
    </dxf>
    <dxf>
      <font>
        <color rgb="FFDE7370"/>
      </font>
    </dxf>
    <dxf>
      <font>
        <color rgb="FF01B1A3"/>
      </font>
    </dxf>
    <dxf>
      <font>
        <color rgb="FFDE7370"/>
      </font>
    </dxf>
    <dxf>
      <font>
        <color rgb="FF01B1A3"/>
      </font>
    </dxf>
    <dxf>
      <font>
        <color rgb="FF01B1A3"/>
      </font>
    </dxf>
    <dxf>
      <font>
        <color rgb="FFDE7370"/>
      </font>
    </dxf>
    <dxf>
      <font>
        <color theme="0" tint="-0.14996795556505021"/>
      </font>
    </dxf>
    <dxf>
      <font>
        <color rgb="FF01B1A3"/>
      </font>
    </dxf>
    <dxf>
      <font>
        <color rgb="FFDE7370"/>
      </font>
    </dxf>
    <dxf>
      <font>
        <color theme="0" tint="-0.14996795556505021"/>
      </font>
    </dxf>
    <dxf>
      <font>
        <color rgb="FF01B1A3"/>
      </font>
    </dxf>
    <dxf>
      <font>
        <color rgb="FFDE7370"/>
      </font>
    </dxf>
    <dxf>
      <font>
        <color theme="0" tint="-0.14996795556505021"/>
      </font>
    </dxf>
    <dxf>
      <font>
        <color rgb="FF01B1A3"/>
      </font>
    </dxf>
    <dxf>
      <font>
        <color rgb="FFDE7370"/>
      </font>
    </dxf>
    <dxf>
      <font>
        <color theme="0" tint="-0.14996795556505021"/>
      </font>
    </dxf>
    <dxf>
      <font>
        <color rgb="FF01B1A3"/>
      </font>
    </dxf>
    <dxf>
      <font>
        <color rgb="FFDE7370"/>
      </font>
    </dxf>
    <dxf>
      <font>
        <color theme="0" tint="-0.14996795556505021"/>
      </font>
    </dxf>
    <dxf>
      <font>
        <color theme="0" tint="-0.14996795556505021"/>
      </font>
    </dxf>
    <dxf>
      <font>
        <color rgb="FFDE7370"/>
      </font>
    </dxf>
    <dxf>
      <font>
        <color rgb="FF01B1A3"/>
      </font>
    </dxf>
    <dxf>
      <font>
        <color rgb="FF01B1A3"/>
      </font>
    </dxf>
    <dxf>
      <font>
        <color rgb="FFDE7370"/>
      </font>
    </dxf>
    <dxf>
      <font>
        <color rgb="FF01B1A3"/>
      </font>
    </dxf>
    <dxf>
      <font>
        <color rgb="FFDE7370"/>
      </font>
    </dxf>
    <dxf>
      <font>
        <color rgb="FF01B1A3"/>
      </font>
    </dxf>
    <dxf>
      <font>
        <color rgb="FFDE7370"/>
      </font>
    </dxf>
    <dxf>
      <font>
        <color rgb="FFDE7370"/>
      </font>
    </dxf>
    <dxf>
      <font>
        <color rgb="FF01B1A3"/>
      </font>
    </dxf>
    <dxf>
      <font>
        <color rgb="FFDE7370"/>
      </font>
    </dxf>
    <dxf>
      <font>
        <color rgb="FF01B1A3"/>
      </font>
    </dxf>
    <dxf>
      <font>
        <color rgb="FFDE7370"/>
      </font>
    </dxf>
    <dxf>
      <font>
        <color rgb="FF01B1A3"/>
      </font>
    </dxf>
    <dxf>
      <font>
        <color rgb="FF01B1A3"/>
      </font>
    </dxf>
    <dxf>
      <font>
        <color rgb="FFF2C80F"/>
      </font>
    </dxf>
    <dxf>
      <font>
        <color rgb="FFDE7370"/>
      </font>
    </dxf>
    <dxf>
      <font>
        <color rgb="FF01B1A3"/>
      </font>
    </dxf>
    <dxf>
      <font>
        <color rgb="FFDE7370"/>
      </font>
    </dxf>
    <dxf>
      <font>
        <color theme="0"/>
      </font>
    </dxf>
    <dxf>
      <font>
        <color rgb="FF01B1A3"/>
      </font>
    </dxf>
    <dxf>
      <font>
        <color rgb="FFDE7370"/>
      </font>
    </dxf>
    <dxf>
      <font>
        <color rgb="FFF2C80F"/>
      </font>
    </dxf>
    <dxf>
      <font>
        <color rgb="FF55B03E"/>
      </font>
    </dxf>
    <dxf>
      <font>
        <color rgb="FFDE7370"/>
      </font>
    </dxf>
    <dxf>
      <font>
        <color rgb="FFF2C80F"/>
      </font>
    </dxf>
    <dxf>
      <font>
        <color rgb="FF55B03E"/>
      </font>
    </dxf>
    <dxf>
      <font>
        <color rgb="FF55B03E"/>
      </font>
    </dxf>
    <dxf>
      <font>
        <color rgb="FFF2C80F"/>
      </font>
    </dxf>
    <dxf>
      <font>
        <color rgb="FFDE7370"/>
      </font>
    </dxf>
    <dxf>
      <font>
        <color rgb="FFDE7370"/>
      </font>
    </dxf>
    <dxf>
      <font>
        <color rgb="FF01B1A3"/>
      </font>
    </dxf>
    <dxf>
      <font>
        <color rgb="FF01B1A3"/>
      </font>
    </dxf>
    <dxf>
      <font>
        <color rgb="FFDE7370"/>
      </font>
    </dxf>
    <dxf>
      <font>
        <b/>
        <i val="0"/>
        <color rgb="FFDE7370"/>
      </font>
    </dxf>
    <dxf>
      <font>
        <b/>
        <i val="0"/>
        <color rgb="FFDE7370"/>
      </font>
    </dxf>
    <dxf>
      <font>
        <b/>
        <i val="0"/>
        <color rgb="FFDE7370"/>
      </font>
    </dxf>
    <dxf>
      <font>
        <color rgb="FF01B1A3"/>
      </font>
    </dxf>
    <dxf>
      <font>
        <color rgb="FFDE7370"/>
      </font>
    </dxf>
    <dxf>
      <font>
        <color rgb="FFF2C80F"/>
      </font>
    </dxf>
    <dxf>
      <font>
        <color rgb="FF55B03E"/>
      </font>
    </dxf>
    <dxf>
      <font>
        <color rgb="FF01B1A3"/>
      </font>
    </dxf>
    <dxf>
      <font>
        <color rgb="FFDE7370"/>
      </font>
    </dxf>
    <dxf>
      <font>
        <color rgb="FFF2C80F"/>
      </font>
    </dxf>
    <dxf>
      <font>
        <color rgb="FF55B03E"/>
      </font>
    </dxf>
    <dxf>
      <font>
        <color rgb="FFDE7370"/>
      </font>
    </dxf>
    <dxf>
      <font>
        <color rgb="FFF2C80F"/>
      </font>
    </dxf>
    <dxf>
      <font>
        <color rgb="FF55B03E"/>
      </font>
    </dxf>
    <dxf>
      <font>
        <color rgb="FFDE7370"/>
      </font>
    </dxf>
    <dxf>
      <font>
        <color rgb="FF01B1A3"/>
      </font>
    </dxf>
    <dxf>
      <font>
        <color rgb="FFDE7370"/>
      </font>
    </dxf>
    <dxf>
      <font>
        <color rgb="FF01B1A3"/>
      </font>
    </dxf>
    <dxf>
      <font>
        <b/>
        <i val="0"/>
        <color rgb="FFDE7370"/>
      </font>
    </dxf>
    <dxf>
      <font>
        <b/>
        <i val="0"/>
        <color rgb="FFDE7370"/>
      </font>
    </dxf>
    <dxf>
      <font>
        <b/>
        <i val="0"/>
        <color rgb="FFDE7370"/>
      </font>
    </dxf>
    <dxf>
      <font>
        <color rgb="FF55B03E"/>
      </font>
    </dxf>
    <dxf>
      <font>
        <color rgb="FFDE7370"/>
      </font>
    </dxf>
    <dxf>
      <font>
        <color theme="0" tint="-4.9989318521683403E-2"/>
      </font>
    </dxf>
    <dxf>
      <font>
        <color theme="0" tint="-4.9989318521683403E-2"/>
      </font>
    </dxf>
    <dxf>
      <font>
        <color rgb="FF55B03E"/>
      </font>
    </dxf>
    <dxf>
      <font>
        <color rgb="FFDE7370"/>
      </font>
    </dxf>
    <dxf>
      <font>
        <color rgb="FF55B03E"/>
      </font>
    </dxf>
    <dxf>
      <font>
        <color rgb="FFDE7370"/>
      </font>
    </dxf>
    <dxf>
      <font>
        <color theme="0" tint="-4.9989318521683403E-2"/>
      </font>
    </dxf>
    <dxf>
      <numFmt numFmtId="166" formatCode="[$R$-416]\ #,##0"/>
    </dxf>
    <dxf>
      <numFmt numFmtId="167" formatCode="#,##0\ [$€-1]"/>
    </dxf>
    <dxf>
      <numFmt numFmtId="168" formatCode="[$$-409]#,##0"/>
    </dxf>
    <dxf>
      <numFmt numFmtId="169" formatCode="#,##0\ &quot;$&quot;"/>
    </dxf>
    <dxf>
      <numFmt numFmtId="170" formatCode="[$£-491]#,##0"/>
    </dxf>
    <dxf>
      <numFmt numFmtId="3" formatCode="#,##0"/>
    </dxf>
    <dxf>
      <numFmt numFmtId="165" formatCode="0.0%"/>
    </dxf>
    <dxf>
      <numFmt numFmtId="13" formatCode="0%"/>
    </dxf>
    <dxf>
      <numFmt numFmtId="3" formatCode="#,##0"/>
    </dxf>
    <dxf>
      <numFmt numFmtId="170" formatCode="[$£-491]#,##0"/>
    </dxf>
    <dxf>
      <numFmt numFmtId="13" formatCode="0%"/>
    </dxf>
    <dxf>
      <numFmt numFmtId="165" formatCode="0.0%"/>
    </dxf>
    <dxf>
      <numFmt numFmtId="3" formatCode="#,##0"/>
    </dxf>
    <dxf>
      <numFmt numFmtId="3" formatCode="#,##0"/>
    </dxf>
    <dxf>
      <numFmt numFmtId="169" formatCode="#,##0\ &quot;$&quot;"/>
    </dxf>
    <dxf>
      <numFmt numFmtId="168" formatCode="[$$-409]#,##0"/>
    </dxf>
    <dxf>
      <numFmt numFmtId="167" formatCode="#,##0\ [$€-1]"/>
    </dxf>
    <dxf>
      <numFmt numFmtId="166" formatCode="[$R$-416]\ #,##0"/>
    </dxf>
    <dxf>
      <numFmt numFmtId="13" formatCode="0%"/>
    </dxf>
    <dxf>
      <numFmt numFmtId="165" formatCode="0.0%"/>
    </dxf>
    <dxf>
      <numFmt numFmtId="3" formatCode="#,##0"/>
    </dxf>
    <dxf>
      <numFmt numFmtId="3" formatCode="#,##0"/>
    </dxf>
    <dxf>
      <numFmt numFmtId="169" formatCode="#,##0\ &quot;$&quot;"/>
    </dxf>
    <dxf>
      <numFmt numFmtId="168" formatCode="[$$-409]#,##0"/>
    </dxf>
    <dxf>
      <numFmt numFmtId="170" formatCode="[$£-491]#,##0"/>
    </dxf>
    <dxf>
      <numFmt numFmtId="166" formatCode="[$R$-416]\ #,##0"/>
    </dxf>
    <dxf>
      <numFmt numFmtId="167" formatCode="#,##0\ [$€-1]"/>
    </dxf>
    <dxf>
      <font>
        <color rgb="FFDE7370"/>
      </font>
    </dxf>
    <dxf>
      <font>
        <color rgb="FF55B03E"/>
      </font>
    </dxf>
    <dxf>
      <font>
        <color theme="0" tint="-4.9989318521683403E-2"/>
      </font>
    </dxf>
    <dxf>
      <font>
        <color theme="0" tint="-4.9989318521683403E-2"/>
      </font>
    </dxf>
    <dxf>
      <font>
        <color rgb="FFDE7370"/>
      </font>
    </dxf>
    <dxf>
      <font>
        <color rgb="FF55B03E"/>
      </font>
    </dxf>
    <dxf>
      <font>
        <color theme="0" tint="-4.9989318521683403E-2"/>
      </font>
    </dxf>
    <dxf>
      <font>
        <color rgb="FFDE7370"/>
      </font>
    </dxf>
    <dxf>
      <font>
        <color rgb="FF55B03E"/>
      </font>
    </dxf>
    <dxf>
      <numFmt numFmtId="165" formatCode="0.0%"/>
    </dxf>
    <dxf>
      <numFmt numFmtId="3" formatCode="#,##0"/>
    </dxf>
    <dxf>
      <numFmt numFmtId="3" formatCode="#,##0"/>
    </dxf>
    <dxf>
      <numFmt numFmtId="13" formatCode="0%"/>
    </dxf>
    <dxf>
      <numFmt numFmtId="169" formatCode="#,##0\ &quot;$&quot;"/>
    </dxf>
    <dxf>
      <numFmt numFmtId="168" formatCode="[$$-409]#,##0"/>
    </dxf>
    <dxf>
      <numFmt numFmtId="167" formatCode="#,##0\ [$€-1]"/>
    </dxf>
    <dxf>
      <numFmt numFmtId="170" formatCode="[$£-491]#,##0"/>
    </dxf>
    <dxf>
      <numFmt numFmtId="166" formatCode="[$R$-416]\ #,##0"/>
    </dxf>
    <dxf>
      <numFmt numFmtId="170" formatCode="[$£-491]#,##0"/>
    </dxf>
    <dxf>
      <numFmt numFmtId="167" formatCode="#,##0\ [$€-1]"/>
    </dxf>
    <dxf>
      <numFmt numFmtId="168" formatCode="[$$-409]#,##0"/>
    </dxf>
    <dxf>
      <numFmt numFmtId="169" formatCode="#,##0\ &quot;$&quot;"/>
    </dxf>
    <dxf>
      <numFmt numFmtId="3" formatCode="#,##0"/>
    </dxf>
    <dxf>
      <numFmt numFmtId="3" formatCode="#,##0"/>
    </dxf>
    <dxf>
      <numFmt numFmtId="165" formatCode="0.0%"/>
    </dxf>
    <dxf>
      <numFmt numFmtId="13" formatCode="0%"/>
    </dxf>
    <dxf>
      <numFmt numFmtId="166" formatCode="[$R$-416]\ #,##0"/>
    </dxf>
    <dxf>
      <numFmt numFmtId="166" formatCode="[$R$-416]\ #,##0"/>
    </dxf>
    <dxf>
      <numFmt numFmtId="170" formatCode="[$£-491]#,##0"/>
    </dxf>
    <dxf>
      <numFmt numFmtId="167" formatCode="#,##0\ [$€-1]"/>
    </dxf>
    <dxf>
      <numFmt numFmtId="168" formatCode="[$$-409]#,##0"/>
    </dxf>
    <dxf>
      <numFmt numFmtId="169" formatCode="#,##0\ &quot;$&quot;"/>
    </dxf>
    <dxf>
      <numFmt numFmtId="3" formatCode="#,##0"/>
    </dxf>
    <dxf>
      <numFmt numFmtId="3" formatCode="#,##0"/>
    </dxf>
    <dxf>
      <numFmt numFmtId="165" formatCode="0.0%"/>
    </dxf>
    <dxf>
      <numFmt numFmtId="13" formatCode="0%"/>
    </dxf>
    <dxf>
      <font>
        <color rgb="FFDE7370"/>
      </font>
    </dxf>
    <dxf>
      <font>
        <color theme="0"/>
      </font>
      <fill>
        <patternFill>
          <bgColor rgb="FF55B03E"/>
        </patternFill>
      </fill>
    </dxf>
    <dxf>
      <font>
        <color theme="0"/>
      </font>
      <fill>
        <patternFill>
          <bgColor rgb="FFF2C80F"/>
        </patternFill>
      </fill>
    </dxf>
    <dxf>
      <font>
        <color theme="1" tint="0.24994659260841701"/>
      </font>
      <fill>
        <patternFill>
          <bgColor theme="0" tint="-4.9989318521683403E-2"/>
        </patternFill>
      </fill>
    </dxf>
    <dxf>
      <fill>
        <patternFill>
          <bgColor theme="0"/>
        </patternFill>
      </fill>
    </dxf>
    <dxf>
      <font>
        <color rgb="FFDE7370"/>
      </font>
    </dxf>
    <dxf>
      <font>
        <color theme="0"/>
      </font>
      <fill>
        <patternFill>
          <bgColor rgb="FF55B03E"/>
        </patternFill>
      </fill>
    </dxf>
    <dxf>
      <font>
        <color theme="0"/>
      </font>
      <fill>
        <patternFill>
          <bgColor rgb="FFF2C80F"/>
        </patternFill>
      </fill>
    </dxf>
    <dxf>
      <font>
        <color theme="1" tint="0.24994659260841701"/>
      </font>
      <fill>
        <patternFill>
          <bgColor theme="0" tint="-4.9989318521683403E-2"/>
        </patternFill>
      </fill>
    </dxf>
    <dxf>
      <fill>
        <patternFill>
          <bgColor theme="0"/>
        </patternFill>
      </fill>
    </dxf>
    <dxf>
      <font>
        <color rgb="FFDE7370"/>
      </font>
    </dxf>
    <dxf>
      <font>
        <color theme="0"/>
      </font>
      <fill>
        <patternFill>
          <bgColor rgb="FF55B03E"/>
        </patternFill>
      </fill>
    </dxf>
    <dxf>
      <font>
        <color theme="0"/>
      </font>
      <fill>
        <patternFill>
          <bgColor rgb="FFF2C80F"/>
        </patternFill>
      </fill>
    </dxf>
    <dxf>
      <font>
        <color theme="1" tint="0.24994659260841701"/>
      </font>
      <fill>
        <patternFill>
          <bgColor theme="0" tint="-4.9989318521683403E-2"/>
        </patternFill>
      </fill>
    </dxf>
    <dxf>
      <fill>
        <patternFill>
          <bgColor theme="0"/>
        </patternFill>
      </fill>
    </dxf>
    <dxf>
      <font>
        <color rgb="FFDE7370"/>
      </font>
    </dxf>
    <dxf>
      <font>
        <color theme="0"/>
      </font>
      <fill>
        <patternFill>
          <bgColor rgb="FF55B03E"/>
        </patternFill>
      </fill>
    </dxf>
    <dxf>
      <font>
        <color theme="0"/>
      </font>
      <fill>
        <patternFill>
          <bgColor rgb="FFF2C80F"/>
        </patternFill>
      </fill>
    </dxf>
    <dxf>
      <font>
        <color theme="1" tint="0.24994659260841701"/>
      </font>
      <fill>
        <patternFill>
          <bgColor theme="0" tint="-4.9989318521683403E-2"/>
        </patternFill>
      </fill>
    </dxf>
    <dxf>
      <fill>
        <patternFill>
          <bgColor theme="0"/>
        </patternFill>
      </fill>
    </dxf>
    <dxf>
      <font>
        <color rgb="FFDE7370"/>
      </font>
    </dxf>
    <dxf>
      <font>
        <color theme="0"/>
      </font>
      <fill>
        <patternFill>
          <bgColor rgb="FF55B03E"/>
        </patternFill>
      </fill>
    </dxf>
    <dxf>
      <font>
        <color theme="0"/>
      </font>
      <fill>
        <patternFill>
          <bgColor rgb="FFF2C80F"/>
        </patternFill>
      </fill>
    </dxf>
    <dxf>
      <font>
        <color theme="1" tint="0.24994659260841701"/>
      </font>
      <fill>
        <patternFill>
          <bgColor theme="0" tint="-4.9989318521683403E-2"/>
        </patternFill>
      </fill>
    </dxf>
    <dxf>
      <fill>
        <patternFill>
          <bgColor theme="0"/>
        </patternFill>
      </fill>
    </dxf>
    <dxf>
      <font>
        <color rgb="FFDE7370"/>
      </font>
    </dxf>
    <dxf>
      <font>
        <color theme="0"/>
      </font>
      <fill>
        <patternFill>
          <bgColor rgb="FF55B03E"/>
        </patternFill>
      </fill>
    </dxf>
    <dxf>
      <font>
        <color theme="0"/>
      </font>
      <fill>
        <patternFill>
          <bgColor rgb="FFF2C80F"/>
        </patternFill>
      </fill>
    </dxf>
    <dxf>
      <font>
        <color theme="1" tint="0.24994659260841701"/>
      </font>
      <fill>
        <patternFill>
          <bgColor theme="0" tint="-4.9989318521683403E-2"/>
        </patternFill>
      </fill>
    </dxf>
    <dxf>
      <fill>
        <patternFill>
          <bgColor theme="0"/>
        </patternFill>
      </fill>
    </dxf>
    <dxf>
      <font>
        <color rgb="FFDE7370"/>
      </font>
    </dxf>
    <dxf>
      <font>
        <color rgb="FF01B1A3"/>
      </font>
    </dxf>
    <dxf>
      <font>
        <color rgb="FFDE7370"/>
      </font>
    </dxf>
    <dxf>
      <font>
        <color rgb="FF01B1A3"/>
      </font>
    </dxf>
    <dxf>
      <numFmt numFmtId="165" formatCode="0.0%"/>
    </dxf>
    <dxf>
      <numFmt numFmtId="171" formatCode="[$-F400]h:mm:ss\ AM/PM"/>
    </dxf>
    <dxf>
      <numFmt numFmtId="166" formatCode="[$R$-416]\ #,##0"/>
    </dxf>
    <dxf>
      <numFmt numFmtId="172" formatCode="[$£-809]#,##0"/>
    </dxf>
    <dxf>
      <numFmt numFmtId="167" formatCode="#,##0\ [$€-1]"/>
    </dxf>
    <dxf>
      <numFmt numFmtId="168" formatCode="[$$-409]#,##0"/>
    </dxf>
    <dxf>
      <numFmt numFmtId="13" formatCode="0%"/>
    </dxf>
    <dxf>
      <numFmt numFmtId="3" formatCode="#,##0"/>
    </dxf>
    <dxf>
      <numFmt numFmtId="173" formatCode="0.0"/>
    </dxf>
    <dxf>
      <numFmt numFmtId="169" formatCode="#,##0\ &quot;$&quot;"/>
    </dxf>
    <dxf>
      <font>
        <color rgb="FF01B1A3"/>
      </font>
    </dxf>
    <dxf>
      <font>
        <color rgb="FFDE7370"/>
      </font>
    </dxf>
    <dxf>
      <font>
        <color rgb="FF01B1A3"/>
      </font>
    </dxf>
    <dxf>
      <font>
        <color rgb="FFDE7370"/>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72" formatCode="[$£-809]#,##0"/>
    </dxf>
    <dxf>
      <numFmt numFmtId="166" formatCode="[$R$-416]\ #,##0"/>
    </dxf>
    <dxf>
      <font>
        <color rgb="FFDE7370"/>
      </font>
    </dxf>
    <dxf>
      <font>
        <color rgb="FF01B1A3"/>
      </font>
    </dxf>
    <dxf>
      <font>
        <color rgb="FFDE7370"/>
      </font>
    </dxf>
    <dxf>
      <font>
        <color rgb="FF01B1A3"/>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66" formatCode="[$R$-416]\ #,##0"/>
    </dxf>
    <dxf>
      <numFmt numFmtId="172" formatCode="[$£-809]#,##0"/>
    </dxf>
    <dxf>
      <font>
        <color rgb="FFDE7370"/>
      </font>
    </dxf>
    <dxf>
      <font>
        <color rgb="FF01B1A3"/>
      </font>
    </dxf>
    <dxf>
      <font>
        <color rgb="FFDE7370"/>
      </font>
    </dxf>
    <dxf>
      <font>
        <color rgb="FF01B1A3"/>
      </font>
    </dxf>
    <dxf>
      <numFmt numFmtId="3" formatCode="#,##0"/>
    </dxf>
    <dxf>
      <numFmt numFmtId="13" formatCode="0%"/>
    </dxf>
    <dxf>
      <numFmt numFmtId="165" formatCode="0.0%"/>
    </dxf>
    <dxf>
      <numFmt numFmtId="169" formatCode="#,##0\ &quot;$&quot;"/>
    </dxf>
    <dxf>
      <numFmt numFmtId="168" formatCode="[$$-409]#,##0"/>
    </dxf>
    <dxf>
      <numFmt numFmtId="167" formatCode="#,##0\ [$€-1]"/>
    </dxf>
    <dxf>
      <numFmt numFmtId="172" formatCode="[$£-809]#,##0"/>
    </dxf>
    <dxf>
      <numFmt numFmtId="166" formatCode="[$R$-416]\ #,##0"/>
    </dxf>
    <dxf>
      <numFmt numFmtId="171" formatCode="[$-F400]h:mm:ss\ AM/PM"/>
    </dxf>
    <dxf>
      <numFmt numFmtId="173" formatCode="0.0"/>
    </dxf>
    <dxf>
      <font>
        <color rgb="FFDE7370"/>
      </font>
    </dxf>
    <dxf>
      <font>
        <color rgb="FFDE7370"/>
      </font>
    </dxf>
    <dxf>
      <font>
        <color rgb="FF01B1A3"/>
      </font>
    </dxf>
    <dxf>
      <font>
        <color rgb="FF01B1A3"/>
      </font>
    </dxf>
    <dxf>
      <numFmt numFmtId="168" formatCode="[$$-409]#,##0"/>
    </dxf>
    <dxf>
      <numFmt numFmtId="169" formatCode="#,##0\ &quot;$&quot;"/>
    </dxf>
    <dxf>
      <numFmt numFmtId="167" formatCode="#,##0\ [$€-1]"/>
    </dxf>
    <dxf>
      <numFmt numFmtId="171" formatCode="[$-F400]h:mm:ss\ AM/PM"/>
    </dxf>
    <dxf>
      <numFmt numFmtId="173" formatCode="0.0"/>
    </dxf>
    <dxf>
      <numFmt numFmtId="3" formatCode="#,##0"/>
    </dxf>
    <dxf>
      <numFmt numFmtId="165" formatCode="0.0%"/>
    </dxf>
    <dxf>
      <numFmt numFmtId="13" formatCode="0%"/>
    </dxf>
    <dxf>
      <numFmt numFmtId="166" formatCode="[$R$-416]\ #,##0"/>
    </dxf>
    <dxf>
      <numFmt numFmtId="172" formatCode="[$£-809]#,##0"/>
    </dxf>
    <dxf>
      <font>
        <color rgb="FF01B1A3"/>
      </font>
    </dxf>
    <dxf>
      <font>
        <color rgb="FFDE7370"/>
      </font>
    </dxf>
    <dxf>
      <font>
        <color rgb="FF01B1A3"/>
      </font>
    </dxf>
    <dxf>
      <font>
        <color rgb="FFDE7370"/>
      </font>
    </dxf>
    <dxf>
      <numFmt numFmtId="169" formatCode="#,##0\ &quot;$&quot;"/>
    </dxf>
    <dxf>
      <numFmt numFmtId="3" formatCode="#,##0"/>
    </dxf>
    <dxf>
      <numFmt numFmtId="173" formatCode="0.0"/>
    </dxf>
    <dxf>
      <numFmt numFmtId="168" formatCode="[$$-409]#,##0"/>
    </dxf>
    <dxf>
      <numFmt numFmtId="171" formatCode="[$-F400]h:mm:ss\ AM/PM"/>
    </dxf>
    <dxf>
      <numFmt numFmtId="166" formatCode="[$R$-416]\ #,##0"/>
    </dxf>
    <dxf>
      <numFmt numFmtId="172" formatCode="[$£-809]#,##0"/>
    </dxf>
    <dxf>
      <numFmt numFmtId="13" formatCode="0%"/>
    </dxf>
    <dxf>
      <numFmt numFmtId="165" formatCode="0.0%"/>
    </dxf>
    <dxf>
      <numFmt numFmtId="167" formatCode="#,##0\ [$€-1]"/>
    </dxf>
    <dxf>
      <font>
        <color rgb="FF01B1A3"/>
      </font>
    </dxf>
    <dxf>
      <font>
        <color rgb="FFDE7370"/>
      </font>
    </dxf>
    <dxf>
      <font>
        <color rgb="FFDE7370"/>
      </font>
    </dxf>
    <dxf>
      <font>
        <color rgb="FF01B1A3"/>
      </font>
    </dxf>
    <dxf>
      <numFmt numFmtId="166" formatCode="[$R$-416]\ #,##0"/>
    </dxf>
    <dxf>
      <numFmt numFmtId="172" formatCode="[$£-809]#,##0"/>
    </dxf>
    <dxf>
      <numFmt numFmtId="173" formatCode="0.0"/>
    </dxf>
    <dxf>
      <numFmt numFmtId="3" formatCode="#,##0"/>
    </dxf>
    <dxf>
      <numFmt numFmtId="165" formatCode="0.0%"/>
    </dxf>
    <dxf>
      <numFmt numFmtId="13" formatCode="0%"/>
    </dxf>
    <dxf>
      <numFmt numFmtId="167" formatCode="#,##0\ [$€-1]"/>
    </dxf>
    <dxf>
      <numFmt numFmtId="169" formatCode="#,##0\ &quot;$&quot;"/>
    </dxf>
    <dxf>
      <numFmt numFmtId="171" formatCode="[$-F400]h:mm:ss\ AM/PM"/>
    </dxf>
    <dxf>
      <numFmt numFmtId="168" formatCode="[$$-409]#,##0"/>
    </dxf>
    <dxf>
      <font>
        <color rgb="FF01B1A3"/>
      </font>
    </dxf>
    <dxf>
      <font>
        <color rgb="FFDE7370"/>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9" formatCode="#,##0\ &quot;$&quot;"/>
    </dxf>
    <dxf>
      <numFmt numFmtId="3" formatCode="#,##0"/>
    </dxf>
    <dxf>
      <numFmt numFmtId="165" formatCode="0.0%"/>
    </dxf>
    <dxf>
      <numFmt numFmtId="13" formatCode="0%"/>
    </dxf>
    <dxf>
      <numFmt numFmtId="168" formatCode="[$$-409]#,##0"/>
    </dxf>
    <dxf>
      <numFmt numFmtId="173" formatCode="0.0"/>
    </dxf>
    <dxf>
      <font>
        <color rgb="FF01B1A3"/>
      </font>
    </dxf>
    <dxf>
      <font>
        <color rgb="FFDE7370"/>
      </font>
    </dxf>
    <dxf>
      <font>
        <color rgb="FF01B1A3"/>
      </font>
    </dxf>
    <dxf>
      <font>
        <color rgb="FFDE7370"/>
      </font>
    </dxf>
    <dxf>
      <numFmt numFmtId="166" formatCode="[$R$-416]\ #,##0"/>
    </dxf>
    <dxf>
      <numFmt numFmtId="171" formatCode="[$-F400]h:mm:ss\ AM/PM"/>
    </dxf>
    <dxf>
      <numFmt numFmtId="172" formatCode="[$£-809]#,##0"/>
    </dxf>
    <dxf>
      <numFmt numFmtId="167" formatCode="#,##0\ [$€-1]"/>
    </dxf>
    <dxf>
      <numFmt numFmtId="168" formatCode="[$$-409]#,##0"/>
    </dxf>
    <dxf>
      <numFmt numFmtId="169" formatCode="#,##0\ &quot;$&quot;"/>
    </dxf>
    <dxf>
      <numFmt numFmtId="3" formatCode="#,##0"/>
    </dxf>
    <dxf>
      <numFmt numFmtId="165" formatCode="0.0%"/>
    </dxf>
    <dxf>
      <numFmt numFmtId="13" formatCode="0%"/>
    </dxf>
    <dxf>
      <numFmt numFmtId="173" formatCode="0.0"/>
    </dxf>
    <dxf>
      <font>
        <color rgb="FFDE7370"/>
      </font>
    </dxf>
    <dxf>
      <font>
        <color rgb="FF01B1A3"/>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8" formatCode="[$$-409]#,##0"/>
    </dxf>
    <dxf>
      <numFmt numFmtId="169" formatCode="#,##0\ &quot;$&quot;"/>
    </dxf>
    <dxf>
      <numFmt numFmtId="173" formatCode="0.0"/>
    </dxf>
    <dxf>
      <numFmt numFmtId="3" formatCode="#,##0"/>
    </dxf>
    <dxf>
      <numFmt numFmtId="165" formatCode="0.0%"/>
    </dxf>
    <dxf>
      <numFmt numFmtId="13" formatCode="0%"/>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dxf>
    <dxf>
      <font>
        <color rgb="FFDE7370"/>
      </font>
    </dxf>
    <dxf>
      <font>
        <color rgb="FF01B1A3"/>
      </font>
    </dxf>
    <dxf>
      <font>
        <color rgb="FFDE7370"/>
      </font>
    </dxf>
    <dxf>
      <font>
        <color rgb="FF01B1A3"/>
      </font>
    </dxf>
    <dxf>
      <numFmt numFmtId="165" formatCode="0.0%"/>
    </dxf>
    <dxf>
      <numFmt numFmtId="171" formatCode="[$-F400]h:mm:ss\ AM/PM"/>
    </dxf>
    <dxf>
      <numFmt numFmtId="166" formatCode="[$R$-416]\ #,##0"/>
    </dxf>
    <dxf>
      <numFmt numFmtId="172" formatCode="[$£-809]#,##0"/>
    </dxf>
    <dxf>
      <numFmt numFmtId="167" formatCode="#,##0\ [$€-1]"/>
    </dxf>
    <dxf>
      <numFmt numFmtId="168" formatCode="[$$-409]#,##0"/>
    </dxf>
    <dxf>
      <numFmt numFmtId="13" formatCode="0%"/>
    </dxf>
    <dxf>
      <numFmt numFmtId="3" formatCode="#,##0"/>
    </dxf>
    <dxf>
      <numFmt numFmtId="173" formatCode="0.0"/>
    </dxf>
    <dxf>
      <numFmt numFmtId="169" formatCode="#,##0\ &quot;$&quot;"/>
    </dxf>
    <dxf>
      <font>
        <color rgb="FF01B1A3"/>
      </font>
    </dxf>
    <dxf>
      <font>
        <color rgb="FFDE7370"/>
      </font>
    </dxf>
    <dxf>
      <font>
        <color rgb="FF01B1A3"/>
      </font>
    </dxf>
    <dxf>
      <font>
        <color rgb="FFDE7370"/>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72" formatCode="[$£-809]#,##0"/>
    </dxf>
    <dxf>
      <numFmt numFmtId="166" formatCode="[$R$-416]\ #,##0"/>
    </dxf>
    <dxf>
      <font>
        <color rgb="FFDE7370"/>
      </font>
    </dxf>
    <dxf>
      <font>
        <color rgb="FF01B1A3"/>
      </font>
    </dxf>
    <dxf>
      <font>
        <color rgb="FFDE7370"/>
      </font>
    </dxf>
    <dxf>
      <font>
        <color rgb="FF01B1A3"/>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66" formatCode="[$R$-416]\ #,##0"/>
    </dxf>
    <dxf>
      <numFmt numFmtId="172" formatCode="[$£-809]#,##0"/>
    </dxf>
    <dxf>
      <font>
        <color rgb="FFDE7370"/>
      </font>
    </dxf>
    <dxf>
      <font>
        <color rgb="FF01B1A3"/>
      </font>
    </dxf>
    <dxf>
      <font>
        <color rgb="FFDE7370"/>
      </font>
    </dxf>
    <dxf>
      <font>
        <color rgb="FF01B1A3"/>
      </font>
    </dxf>
    <dxf>
      <numFmt numFmtId="3" formatCode="#,##0"/>
    </dxf>
    <dxf>
      <numFmt numFmtId="13" formatCode="0%"/>
    </dxf>
    <dxf>
      <numFmt numFmtId="165" formatCode="0.0%"/>
    </dxf>
    <dxf>
      <numFmt numFmtId="169" formatCode="#,##0\ &quot;$&quot;"/>
    </dxf>
    <dxf>
      <numFmt numFmtId="168" formatCode="[$$-409]#,##0"/>
    </dxf>
    <dxf>
      <numFmt numFmtId="167" formatCode="#,##0\ [$€-1]"/>
    </dxf>
    <dxf>
      <numFmt numFmtId="172" formatCode="[$£-809]#,##0"/>
    </dxf>
    <dxf>
      <numFmt numFmtId="166" formatCode="[$R$-416]\ #,##0"/>
    </dxf>
    <dxf>
      <numFmt numFmtId="171" formatCode="[$-F400]h:mm:ss\ AM/PM"/>
    </dxf>
    <dxf>
      <numFmt numFmtId="173" formatCode="0.0"/>
    </dxf>
    <dxf>
      <font>
        <color rgb="FFDE7370"/>
      </font>
    </dxf>
    <dxf>
      <font>
        <color rgb="FFDE7370"/>
      </font>
    </dxf>
    <dxf>
      <font>
        <color rgb="FF01B1A3"/>
      </font>
    </dxf>
    <dxf>
      <font>
        <color rgb="FF01B1A3"/>
      </font>
    </dxf>
    <dxf>
      <numFmt numFmtId="168" formatCode="[$$-409]#,##0"/>
    </dxf>
    <dxf>
      <numFmt numFmtId="169" formatCode="#,##0\ &quot;$&quot;"/>
    </dxf>
    <dxf>
      <numFmt numFmtId="167" formatCode="#,##0\ [$€-1]"/>
    </dxf>
    <dxf>
      <numFmt numFmtId="171" formatCode="[$-F400]h:mm:ss\ AM/PM"/>
    </dxf>
    <dxf>
      <numFmt numFmtId="173" formatCode="0.0"/>
    </dxf>
    <dxf>
      <numFmt numFmtId="3" formatCode="#,##0"/>
    </dxf>
    <dxf>
      <numFmt numFmtId="165" formatCode="0.0%"/>
    </dxf>
    <dxf>
      <numFmt numFmtId="13" formatCode="0%"/>
    </dxf>
    <dxf>
      <numFmt numFmtId="166" formatCode="[$R$-416]\ #,##0"/>
    </dxf>
    <dxf>
      <numFmt numFmtId="172" formatCode="[$£-809]#,##0"/>
    </dxf>
    <dxf>
      <font>
        <color rgb="FF01B1A3"/>
      </font>
    </dxf>
    <dxf>
      <font>
        <color rgb="FFDE7370"/>
      </font>
    </dxf>
    <dxf>
      <font>
        <color rgb="FF01B1A3"/>
      </font>
    </dxf>
    <dxf>
      <font>
        <color rgb="FFDE7370"/>
      </font>
    </dxf>
    <dxf>
      <numFmt numFmtId="169" formatCode="#,##0\ &quot;$&quot;"/>
    </dxf>
    <dxf>
      <numFmt numFmtId="3" formatCode="#,##0"/>
    </dxf>
    <dxf>
      <numFmt numFmtId="173" formatCode="0.0"/>
    </dxf>
    <dxf>
      <numFmt numFmtId="168" formatCode="[$$-409]#,##0"/>
    </dxf>
    <dxf>
      <numFmt numFmtId="171" formatCode="[$-F400]h:mm:ss\ AM/PM"/>
    </dxf>
    <dxf>
      <numFmt numFmtId="166" formatCode="[$R$-416]\ #,##0"/>
    </dxf>
    <dxf>
      <numFmt numFmtId="172" formatCode="[$£-809]#,##0"/>
    </dxf>
    <dxf>
      <numFmt numFmtId="13" formatCode="0%"/>
    </dxf>
    <dxf>
      <numFmt numFmtId="165" formatCode="0.0%"/>
    </dxf>
    <dxf>
      <numFmt numFmtId="167" formatCode="#,##0\ [$€-1]"/>
    </dxf>
    <dxf>
      <font>
        <color rgb="FF01B1A3"/>
      </font>
    </dxf>
    <dxf>
      <font>
        <color rgb="FFDE7370"/>
      </font>
    </dxf>
    <dxf>
      <font>
        <color rgb="FFDE7370"/>
      </font>
    </dxf>
    <dxf>
      <font>
        <color rgb="FF01B1A3"/>
      </font>
    </dxf>
    <dxf>
      <numFmt numFmtId="166" formatCode="[$R$-416]\ #,##0"/>
    </dxf>
    <dxf>
      <numFmt numFmtId="172" formatCode="[$£-809]#,##0"/>
    </dxf>
    <dxf>
      <numFmt numFmtId="173" formatCode="0.0"/>
    </dxf>
    <dxf>
      <numFmt numFmtId="3" formatCode="#,##0"/>
    </dxf>
    <dxf>
      <numFmt numFmtId="165" formatCode="0.0%"/>
    </dxf>
    <dxf>
      <numFmt numFmtId="13" formatCode="0%"/>
    </dxf>
    <dxf>
      <numFmt numFmtId="167" formatCode="#,##0\ [$€-1]"/>
    </dxf>
    <dxf>
      <numFmt numFmtId="169" formatCode="#,##0\ &quot;$&quot;"/>
    </dxf>
    <dxf>
      <numFmt numFmtId="171" formatCode="[$-F400]h:mm:ss\ AM/PM"/>
    </dxf>
    <dxf>
      <numFmt numFmtId="168" formatCode="[$$-409]#,##0"/>
    </dxf>
    <dxf>
      <font>
        <color rgb="FF01B1A3"/>
      </font>
    </dxf>
    <dxf>
      <font>
        <color rgb="FFDE7370"/>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9" formatCode="#,##0\ &quot;$&quot;"/>
    </dxf>
    <dxf>
      <numFmt numFmtId="3" formatCode="#,##0"/>
    </dxf>
    <dxf>
      <numFmt numFmtId="165" formatCode="0.0%"/>
    </dxf>
    <dxf>
      <numFmt numFmtId="13" formatCode="0%"/>
    </dxf>
    <dxf>
      <numFmt numFmtId="168" formatCode="[$$-409]#,##0"/>
    </dxf>
    <dxf>
      <numFmt numFmtId="173" formatCode="0.0"/>
    </dxf>
    <dxf>
      <font>
        <color rgb="FF01B1A3"/>
      </font>
    </dxf>
    <dxf>
      <font>
        <color rgb="FFDE7370"/>
      </font>
    </dxf>
    <dxf>
      <font>
        <color rgb="FF01B1A3"/>
      </font>
    </dxf>
    <dxf>
      <font>
        <color rgb="FFDE7370"/>
      </font>
    </dxf>
    <dxf>
      <numFmt numFmtId="166" formatCode="[$R$-416]\ #,##0"/>
    </dxf>
    <dxf>
      <numFmt numFmtId="171" formatCode="[$-F400]h:mm:ss\ AM/PM"/>
    </dxf>
    <dxf>
      <numFmt numFmtId="172" formatCode="[$£-809]#,##0"/>
    </dxf>
    <dxf>
      <numFmt numFmtId="167" formatCode="#,##0\ [$€-1]"/>
    </dxf>
    <dxf>
      <numFmt numFmtId="168" formatCode="[$$-409]#,##0"/>
    </dxf>
    <dxf>
      <numFmt numFmtId="169" formatCode="#,##0\ &quot;$&quot;"/>
    </dxf>
    <dxf>
      <numFmt numFmtId="3" formatCode="#,##0"/>
    </dxf>
    <dxf>
      <numFmt numFmtId="165" formatCode="0.0%"/>
    </dxf>
    <dxf>
      <numFmt numFmtId="13" formatCode="0%"/>
    </dxf>
    <dxf>
      <numFmt numFmtId="173" formatCode="0.0"/>
    </dxf>
    <dxf>
      <font>
        <color rgb="FFDE7370"/>
      </font>
    </dxf>
    <dxf>
      <font>
        <color rgb="FF01B1A3"/>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8" formatCode="[$$-409]#,##0"/>
    </dxf>
    <dxf>
      <numFmt numFmtId="169" formatCode="#,##0\ &quot;$&quot;"/>
    </dxf>
    <dxf>
      <numFmt numFmtId="173" formatCode="0.0"/>
    </dxf>
    <dxf>
      <numFmt numFmtId="3" formatCode="#,##0"/>
    </dxf>
    <dxf>
      <numFmt numFmtId="165" formatCode="0.0%"/>
    </dxf>
    <dxf>
      <numFmt numFmtId="13" formatCode="0%"/>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dxf>
    <dxf>
      <font>
        <color rgb="FFDE7370"/>
      </font>
    </dxf>
    <dxf>
      <font>
        <color rgb="FF01B1A3"/>
      </font>
    </dxf>
    <dxf>
      <font>
        <color rgb="FFDE7370"/>
      </font>
    </dxf>
    <dxf>
      <font>
        <color rgb="FF01B1A3"/>
      </font>
    </dxf>
    <dxf>
      <numFmt numFmtId="165" formatCode="0.0%"/>
    </dxf>
    <dxf>
      <numFmt numFmtId="171" formatCode="[$-F400]h:mm:ss\ AM/PM"/>
    </dxf>
    <dxf>
      <numFmt numFmtId="166" formatCode="[$R$-416]\ #,##0"/>
    </dxf>
    <dxf>
      <numFmt numFmtId="172" formatCode="[$£-809]#,##0"/>
    </dxf>
    <dxf>
      <numFmt numFmtId="167" formatCode="#,##0\ [$€-1]"/>
    </dxf>
    <dxf>
      <numFmt numFmtId="168" formatCode="[$$-409]#,##0"/>
    </dxf>
    <dxf>
      <numFmt numFmtId="13" formatCode="0%"/>
    </dxf>
    <dxf>
      <numFmt numFmtId="3" formatCode="#,##0"/>
    </dxf>
    <dxf>
      <numFmt numFmtId="173" formatCode="0.0"/>
    </dxf>
    <dxf>
      <numFmt numFmtId="169" formatCode="#,##0\ &quot;$&quot;"/>
    </dxf>
    <dxf>
      <font>
        <color rgb="FF01B1A3"/>
      </font>
    </dxf>
    <dxf>
      <font>
        <color rgb="FFDE7370"/>
      </font>
    </dxf>
    <dxf>
      <font>
        <color rgb="FF01B1A3"/>
      </font>
    </dxf>
    <dxf>
      <font>
        <color rgb="FFDE7370"/>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72" formatCode="[$£-809]#,##0"/>
    </dxf>
    <dxf>
      <numFmt numFmtId="166" formatCode="[$R$-416]\ #,##0"/>
    </dxf>
    <dxf>
      <font>
        <color rgb="FFDE7370"/>
      </font>
    </dxf>
    <dxf>
      <font>
        <color rgb="FF01B1A3"/>
      </font>
    </dxf>
    <dxf>
      <font>
        <color rgb="FFDE7370"/>
      </font>
    </dxf>
    <dxf>
      <font>
        <color rgb="FF01B1A3"/>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66" formatCode="[$R$-416]\ #,##0"/>
    </dxf>
    <dxf>
      <numFmt numFmtId="172" formatCode="[$£-809]#,##0"/>
    </dxf>
    <dxf>
      <font>
        <color rgb="FFDE7370"/>
      </font>
    </dxf>
    <dxf>
      <font>
        <color rgb="FF01B1A3"/>
      </font>
    </dxf>
    <dxf>
      <font>
        <color rgb="FFDE7370"/>
      </font>
    </dxf>
    <dxf>
      <font>
        <color rgb="FF01B1A3"/>
      </font>
    </dxf>
    <dxf>
      <numFmt numFmtId="3" formatCode="#,##0"/>
    </dxf>
    <dxf>
      <numFmt numFmtId="13" formatCode="0%"/>
    </dxf>
    <dxf>
      <numFmt numFmtId="165" formatCode="0.0%"/>
    </dxf>
    <dxf>
      <numFmt numFmtId="169" formatCode="#,##0\ &quot;$&quot;"/>
    </dxf>
    <dxf>
      <numFmt numFmtId="168" formatCode="[$$-409]#,##0"/>
    </dxf>
    <dxf>
      <numFmt numFmtId="167" formatCode="#,##0\ [$€-1]"/>
    </dxf>
    <dxf>
      <numFmt numFmtId="172" formatCode="[$£-809]#,##0"/>
    </dxf>
    <dxf>
      <numFmt numFmtId="166" formatCode="[$R$-416]\ #,##0"/>
    </dxf>
    <dxf>
      <numFmt numFmtId="171" formatCode="[$-F400]h:mm:ss\ AM/PM"/>
    </dxf>
    <dxf>
      <numFmt numFmtId="173" formatCode="0.0"/>
    </dxf>
    <dxf>
      <font>
        <color rgb="FFDE7370"/>
      </font>
    </dxf>
    <dxf>
      <font>
        <color rgb="FFDE7370"/>
      </font>
    </dxf>
    <dxf>
      <font>
        <color rgb="FF01B1A3"/>
      </font>
    </dxf>
    <dxf>
      <font>
        <color rgb="FF01B1A3"/>
      </font>
    </dxf>
    <dxf>
      <numFmt numFmtId="168" formatCode="[$$-409]#,##0"/>
    </dxf>
    <dxf>
      <numFmt numFmtId="169" formatCode="#,##0\ &quot;$&quot;"/>
    </dxf>
    <dxf>
      <numFmt numFmtId="167" formatCode="#,##0\ [$€-1]"/>
    </dxf>
    <dxf>
      <numFmt numFmtId="171" formatCode="[$-F400]h:mm:ss\ AM/PM"/>
    </dxf>
    <dxf>
      <numFmt numFmtId="173" formatCode="0.0"/>
    </dxf>
    <dxf>
      <numFmt numFmtId="3" formatCode="#,##0"/>
    </dxf>
    <dxf>
      <numFmt numFmtId="165" formatCode="0.0%"/>
    </dxf>
    <dxf>
      <numFmt numFmtId="13" formatCode="0%"/>
    </dxf>
    <dxf>
      <numFmt numFmtId="166" formatCode="[$R$-416]\ #,##0"/>
    </dxf>
    <dxf>
      <numFmt numFmtId="172" formatCode="[$£-809]#,##0"/>
    </dxf>
    <dxf>
      <font>
        <color rgb="FF01B1A3"/>
      </font>
    </dxf>
    <dxf>
      <font>
        <color rgb="FFDE7370"/>
      </font>
    </dxf>
    <dxf>
      <font>
        <color rgb="FF01B1A3"/>
      </font>
    </dxf>
    <dxf>
      <font>
        <color rgb="FFDE7370"/>
      </font>
    </dxf>
    <dxf>
      <numFmt numFmtId="169" formatCode="#,##0\ &quot;$&quot;"/>
    </dxf>
    <dxf>
      <numFmt numFmtId="3" formatCode="#,##0"/>
    </dxf>
    <dxf>
      <numFmt numFmtId="173" formatCode="0.0"/>
    </dxf>
    <dxf>
      <numFmt numFmtId="168" formatCode="[$$-409]#,##0"/>
    </dxf>
    <dxf>
      <numFmt numFmtId="171" formatCode="[$-F400]h:mm:ss\ AM/PM"/>
    </dxf>
    <dxf>
      <numFmt numFmtId="166" formatCode="[$R$-416]\ #,##0"/>
    </dxf>
    <dxf>
      <numFmt numFmtId="172" formatCode="[$£-809]#,##0"/>
    </dxf>
    <dxf>
      <numFmt numFmtId="13" formatCode="0%"/>
    </dxf>
    <dxf>
      <numFmt numFmtId="165" formatCode="0.0%"/>
    </dxf>
    <dxf>
      <numFmt numFmtId="167" formatCode="#,##0\ [$€-1]"/>
    </dxf>
    <dxf>
      <font>
        <color rgb="FF01B1A3"/>
      </font>
    </dxf>
    <dxf>
      <font>
        <color rgb="FFDE7370"/>
      </font>
    </dxf>
    <dxf>
      <font>
        <color rgb="FFDE7370"/>
      </font>
    </dxf>
    <dxf>
      <font>
        <color rgb="FF01B1A3"/>
      </font>
    </dxf>
    <dxf>
      <numFmt numFmtId="166" formatCode="[$R$-416]\ #,##0"/>
    </dxf>
    <dxf>
      <numFmt numFmtId="172" formatCode="[$£-809]#,##0"/>
    </dxf>
    <dxf>
      <numFmt numFmtId="173" formatCode="0.0"/>
    </dxf>
    <dxf>
      <numFmt numFmtId="3" formatCode="#,##0"/>
    </dxf>
    <dxf>
      <numFmt numFmtId="165" formatCode="0.0%"/>
    </dxf>
    <dxf>
      <numFmt numFmtId="13" formatCode="0%"/>
    </dxf>
    <dxf>
      <numFmt numFmtId="167" formatCode="#,##0\ [$€-1]"/>
    </dxf>
    <dxf>
      <numFmt numFmtId="169" formatCode="#,##0\ &quot;$&quot;"/>
    </dxf>
    <dxf>
      <numFmt numFmtId="171" formatCode="[$-F400]h:mm:ss\ AM/PM"/>
    </dxf>
    <dxf>
      <numFmt numFmtId="168" formatCode="[$$-409]#,##0"/>
    </dxf>
    <dxf>
      <font>
        <color rgb="FF01B1A3"/>
      </font>
    </dxf>
    <dxf>
      <font>
        <color rgb="FFDE7370"/>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9" formatCode="#,##0\ &quot;$&quot;"/>
    </dxf>
    <dxf>
      <numFmt numFmtId="3" formatCode="#,##0"/>
    </dxf>
    <dxf>
      <numFmt numFmtId="165" formatCode="0.0%"/>
    </dxf>
    <dxf>
      <numFmt numFmtId="13" formatCode="0%"/>
    </dxf>
    <dxf>
      <numFmt numFmtId="168" formatCode="[$$-409]#,##0"/>
    </dxf>
    <dxf>
      <numFmt numFmtId="173" formatCode="0.0"/>
    </dxf>
    <dxf>
      <font>
        <color rgb="FF01B1A3"/>
      </font>
    </dxf>
    <dxf>
      <font>
        <color rgb="FFDE7370"/>
      </font>
    </dxf>
    <dxf>
      <font>
        <color rgb="FF01B1A3"/>
      </font>
    </dxf>
    <dxf>
      <font>
        <color rgb="FFDE7370"/>
      </font>
    </dxf>
    <dxf>
      <numFmt numFmtId="166" formatCode="[$R$-416]\ #,##0"/>
    </dxf>
    <dxf>
      <numFmt numFmtId="171" formatCode="[$-F400]h:mm:ss\ AM/PM"/>
    </dxf>
    <dxf>
      <numFmt numFmtId="172" formatCode="[$£-809]#,##0"/>
    </dxf>
    <dxf>
      <numFmt numFmtId="167" formatCode="#,##0\ [$€-1]"/>
    </dxf>
    <dxf>
      <numFmt numFmtId="168" formatCode="[$$-409]#,##0"/>
    </dxf>
    <dxf>
      <numFmt numFmtId="169" formatCode="#,##0\ &quot;$&quot;"/>
    </dxf>
    <dxf>
      <numFmt numFmtId="3" formatCode="#,##0"/>
    </dxf>
    <dxf>
      <numFmt numFmtId="165" formatCode="0.0%"/>
    </dxf>
    <dxf>
      <numFmt numFmtId="13" formatCode="0%"/>
    </dxf>
    <dxf>
      <numFmt numFmtId="173" formatCode="0.0"/>
    </dxf>
    <dxf>
      <font>
        <color rgb="FFDE7370"/>
      </font>
    </dxf>
    <dxf>
      <font>
        <color rgb="FF01B1A3"/>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8" formatCode="[$$-409]#,##0"/>
    </dxf>
    <dxf>
      <numFmt numFmtId="169" formatCode="#,##0\ &quot;$&quot;"/>
    </dxf>
    <dxf>
      <numFmt numFmtId="173" formatCode="0.0"/>
    </dxf>
    <dxf>
      <numFmt numFmtId="3" formatCode="#,##0"/>
    </dxf>
    <dxf>
      <numFmt numFmtId="165" formatCode="0.0%"/>
    </dxf>
    <dxf>
      <numFmt numFmtId="13" formatCode="0%"/>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dxf>
    <dxf>
      <font>
        <color rgb="FFDE7370"/>
      </font>
    </dxf>
    <dxf>
      <font>
        <color rgb="FF01B1A3"/>
      </font>
    </dxf>
    <dxf>
      <font>
        <color rgb="FFDE7370"/>
      </font>
    </dxf>
    <dxf>
      <font>
        <color rgb="FF01B1A3"/>
      </font>
    </dxf>
    <dxf>
      <numFmt numFmtId="165" formatCode="0.0%"/>
    </dxf>
    <dxf>
      <numFmt numFmtId="171" formatCode="[$-F400]h:mm:ss\ AM/PM"/>
    </dxf>
    <dxf>
      <numFmt numFmtId="166" formatCode="[$R$-416]\ #,##0"/>
    </dxf>
    <dxf>
      <numFmt numFmtId="172" formatCode="[$£-809]#,##0"/>
    </dxf>
    <dxf>
      <numFmt numFmtId="167" formatCode="#,##0\ [$€-1]"/>
    </dxf>
    <dxf>
      <numFmt numFmtId="168" formatCode="[$$-409]#,##0"/>
    </dxf>
    <dxf>
      <numFmt numFmtId="13" formatCode="0%"/>
    </dxf>
    <dxf>
      <numFmt numFmtId="3" formatCode="#,##0"/>
    </dxf>
    <dxf>
      <numFmt numFmtId="173" formatCode="0.0"/>
    </dxf>
    <dxf>
      <numFmt numFmtId="169" formatCode="#,##0\ &quot;$&quot;"/>
    </dxf>
    <dxf>
      <font>
        <color rgb="FF01B1A3"/>
      </font>
    </dxf>
    <dxf>
      <font>
        <color rgb="FFDE7370"/>
      </font>
    </dxf>
    <dxf>
      <font>
        <color rgb="FF01B1A3"/>
      </font>
    </dxf>
    <dxf>
      <font>
        <color rgb="FFDE7370"/>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72" formatCode="[$£-809]#,##0"/>
    </dxf>
    <dxf>
      <numFmt numFmtId="166" formatCode="[$R$-416]\ #,##0"/>
    </dxf>
    <dxf>
      <font>
        <color rgb="FFDE7370"/>
      </font>
    </dxf>
    <dxf>
      <font>
        <color rgb="FF01B1A3"/>
      </font>
    </dxf>
    <dxf>
      <font>
        <color rgb="FFDE7370"/>
      </font>
    </dxf>
    <dxf>
      <font>
        <color rgb="FF01B1A3"/>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66" formatCode="[$R$-416]\ #,##0"/>
    </dxf>
    <dxf>
      <numFmt numFmtId="172" formatCode="[$£-809]#,##0"/>
    </dxf>
    <dxf>
      <font>
        <color rgb="FFDE7370"/>
      </font>
    </dxf>
    <dxf>
      <font>
        <color rgb="FF01B1A3"/>
      </font>
    </dxf>
    <dxf>
      <font>
        <color rgb="FFDE7370"/>
      </font>
    </dxf>
    <dxf>
      <font>
        <color rgb="FF01B1A3"/>
      </font>
    </dxf>
    <dxf>
      <numFmt numFmtId="3" formatCode="#,##0"/>
    </dxf>
    <dxf>
      <numFmt numFmtId="13" formatCode="0%"/>
    </dxf>
    <dxf>
      <numFmt numFmtId="165" formatCode="0.0%"/>
    </dxf>
    <dxf>
      <numFmt numFmtId="169" formatCode="#,##0\ &quot;$&quot;"/>
    </dxf>
    <dxf>
      <numFmt numFmtId="168" formatCode="[$$-409]#,##0"/>
    </dxf>
    <dxf>
      <numFmt numFmtId="167" formatCode="#,##0\ [$€-1]"/>
    </dxf>
    <dxf>
      <numFmt numFmtId="172" formatCode="[$£-809]#,##0"/>
    </dxf>
    <dxf>
      <numFmt numFmtId="166" formatCode="[$R$-416]\ #,##0"/>
    </dxf>
    <dxf>
      <numFmt numFmtId="171" formatCode="[$-F400]h:mm:ss\ AM/PM"/>
    </dxf>
    <dxf>
      <numFmt numFmtId="173" formatCode="0.0"/>
    </dxf>
    <dxf>
      <font>
        <color rgb="FFDE7370"/>
      </font>
    </dxf>
    <dxf>
      <font>
        <color rgb="FFDE7370"/>
      </font>
    </dxf>
    <dxf>
      <font>
        <color rgb="FF01B1A3"/>
      </font>
    </dxf>
    <dxf>
      <font>
        <color rgb="FF01B1A3"/>
      </font>
    </dxf>
    <dxf>
      <numFmt numFmtId="168" formatCode="[$$-409]#,##0"/>
    </dxf>
    <dxf>
      <numFmt numFmtId="169" formatCode="#,##0\ &quot;$&quot;"/>
    </dxf>
    <dxf>
      <numFmt numFmtId="167" formatCode="#,##0\ [$€-1]"/>
    </dxf>
    <dxf>
      <numFmt numFmtId="171" formatCode="[$-F400]h:mm:ss\ AM/PM"/>
    </dxf>
    <dxf>
      <numFmt numFmtId="173" formatCode="0.0"/>
    </dxf>
    <dxf>
      <numFmt numFmtId="3" formatCode="#,##0"/>
    </dxf>
    <dxf>
      <numFmt numFmtId="165" formatCode="0.0%"/>
    </dxf>
    <dxf>
      <numFmt numFmtId="13" formatCode="0%"/>
    </dxf>
    <dxf>
      <numFmt numFmtId="166" formatCode="[$R$-416]\ #,##0"/>
    </dxf>
    <dxf>
      <numFmt numFmtId="172" formatCode="[$£-809]#,##0"/>
    </dxf>
    <dxf>
      <font>
        <color rgb="FF01B1A3"/>
      </font>
    </dxf>
    <dxf>
      <font>
        <color rgb="FFDE7370"/>
      </font>
    </dxf>
    <dxf>
      <font>
        <color rgb="FF01B1A3"/>
      </font>
    </dxf>
    <dxf>
      <font>
        <color rgb="FFDE7370"/>
      </font>
    </dxf>
    <dxf>
      <numFmt numFmtId="169" formatCode="#,##0\ &quot;$&quot;"/>
    </dxf>
    <dxf>
      <numFmt numFmtId="3" formatCode="#,##0"/>
    </dxf>
    <dxf>
      <numFmt numFmtId="173" formatCode="0.0"/>
    </dxf>
    <dxf>
      <numFmt numFmtId="168" formatCode="[$$-409]#,##0"/>
    </dxf>
    <dxf>
      <numFmt numFmtId="171" formatCode="[$-F400]h:mm:ss\ AM/PM"/>
    </dxf>
    <dxf>
      <numFmt numFmtId="166" formatCode="[$R$-416]\ #,##0"/>
    </dxf>
    <dxf>
      <numFmt numFmtId="172" formatCode="[$£-809]#,##0"/>
    </dxf>
    <dxf>
      <numFmt numFmtId="13" formatCode="0%"/>
    </dxf>
    <dxf>
      <numFmt numFmtId="165" formatCode="0.0%"/>
    </dxf>
    <dxf>
      <numFmt numFmtId="167" formatCode="#,##0\ [$€-1]"/>
    </dxf>
    <dxf>
      <font>
        <color rgb="FF01B1A3"/>
      </font>
    </dxf>
    <dxf>
      <font>
        <color rgb="FFDE7370"/>
      </font>
    </dxf>
    <dxf>
      <font>
        <color rgb="FFDE7370"/>
      </font>
    </dxf>
    <dxf>
      <font>
        <color rgb="FF01B1A3"/>
      </font>
    </dxf>
    <dxf>
      <numFmt numFmtId="166" formatCode="[$R$-416]\ #,##0"/>
    </dxf>
    <dxf>
      <numFmt numFmtId="172" formatCode="[$£-809]#,##0"/>
    </dxf>
    <dxf>
      <numFmt numFmtId="173" formatCode="0.0"/>
    </dxf>
    <dxf>
      <numFmt numFmtId="3" formatCode="#,##0"/>
    </dxf>
    <dxf>
      <numFmt numFmtId="165" formatCode="0.0%"/>
    </dxf>
    <dxf>
      <numFmt numFmtId="13" formatCode="0%"/>
    </dxf>
    <dxf>
      <numFmt numFmtId="167" formatCode="#,##0\ [$€-1]"/>
    </dxf>
    <dxf>
      <numFmt numFmtId="169" formatCode="#,##0\ &quot;$&quot;"/>
    </dxf>
    <dxf>
      <numFmt numFmtId="171" formatCode="[$-F400]h:mm:ss\ AM/PM"/>
    </dxf>
    <dxf>
      <numFmt numFmtId="168" formatCode="[$$-409]#,##0"/>
    </dxf>
    <dxf>
      <font>
        <color rgb="FF01B1A3"/>
      </font>
    </dxf>
    <dxf>
      <font>
        <color rgb="FFDE7370"/>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9" formatCode="#,##0\ &quot;$&quot;"/>
    </dxf>
    <dxf>
      <numFmt numFmtId="3" formatCode="#,##0"/>
    </dxf>
    <dxf>
      <numFmt numFmtId="165" formatCode="0.0%"/>
    </dxf>
    <dxf>
      <numFmt numFmtId="13" formatCode="0%"/>
    </dxf>
    <dxf>
      <numFmt numFmtId="168" formatCode="[$$-409]#,##0"/>
    </dxf>
    <dxf>
      <numFmt numFmtId="173" formatCode="0.0"/>
    </dxf>
    <dxf>
      <font>
        <color rgb="FF01B1A3"/>
      </font>
    </dxf>
    <dxf>
      <font>
        <color rgb="FFDE7370"/>
      </font>
    </dxf>
    <dxf>
      <font>
        <color rgb="FF01B1A3"/>
      </font>
    </dxf>
    <dxf>
      <font>
        <color rgb="FFDE7370"/>
      </font>
    </dxf>
    <dxf>
      <numFmt numFmtId="166" formatCode="[$R$-416]\ #,##0"/>
    </dxf>
    <dxf>
      <numFmt numFmtId="171" formatCode="[$-F400]h:mm:ss\ AM/PM"/>
    </dxf>
    <dxf>
      <numFmt numFmtId="172" formatCode="[$£-809]#,##0"/>
    </dxf>
    <dxf>
      <numFmt numFmtId="167" formatCode="#,##0\ [$€-1]"/>
    </dxf>
    <dxf>
      <numFmt numFmtId="168" formatCode="[$$-409]#,##0"/>
    </dxf>
    <dxf>
      <numFmt numFmtId="169" formatCode="#,##0\ &quot;$&quot;"/>
    </dxf>
    <dxf>
      <numFmt numFmtId="3" formatCode="#,##0"/>
    </dxf>
    <dxf>
      <numFmt numFmtId="165" formatCode="0.0%"/>
    </dxf>
    <dxf>
      <numFmt numFmtId="13" formatCode="0%"/>
    </dxf>
    <dxf>
      <numFmt numFmtId="173" formatCode="0.0"/>
    </dxf>
    <dxf>
      <font>
        <color rgb="FFDE7370"/>
      </font>
    </dxf>
    <dxf>
      <font>
        <color rgb="FF01B1A3"/>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8" formatCode="[$$-409]#,##0"/>
    </dxf>
    <dxf>
      <numFmt numFmtId="169" formatCode="#,##0\ &quot;$&quot;"/>
    </dxf>
    <dxf>
      <numFmt numFmtId="173" formatCode="0.0"/>
    </dxf>
    <dxf>
      <numFmt numFmtId="3" formatCode="#,##0"/>
    </dxf>
    <dxf>
      <numFmt numFmtId="165" formatCode="0.0%"/>
    </dxf>
    <dxf>
      <numFmt numFmtId="13" formatCode="0%"/>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dxf>
    <dxf>
      <font>
        <color rgb="FFDE7370"/>
      </font>
    </dxf>
    <dxf>
      <font>
        <color rgb="FF01B1A3"/>
      </font>
    </dxf>
    <dxf>
      <font>
        <color rgb="FFDE7370"/>
      </font>
    </dxf>
    <dxf>
      <font>
        <color rgb="FF01B1A3"/>
      </font>
    </dxf>
    <dxf>
      <numFmt numFmtId="165" formatCode="0.0%"/>
    </dxf>
    <dxf>
      <numFmt numFmtId="171" formatCode="[$-F400]h:mm:ss\ AM/PM"/>
    </dxf>
    <dxf>
      <numFmt numFmtId="166" formatCode="[$R$-416]\ #,##0"/>
    </dxf>
    <dxf>
      <numFmt numFmtId="172" formatCode="[$£-809]#,##0"/>
    </dxf>
    <dxf>
      <numFmt numFmtId="167" formatCode="#,##0\ [$€-1]"/>
    </dxf>
    <dxf>
      <numFmt numFmtId="168" formatCode="[$$-409]#,##0"/>
    </dxf>
    <dxf>
      <numFmt numFmtId="13" formatCode="0%"/>
    </dxf>
    <dxf>
      <numFmt numFmtId="3" formatCode="#,##0"/>
    </dxf>
    <dxf>
      <numFmt numFmtId="173" formatCode="0.0"/>
    </dxf>
    <dxf>
      <numFmt numFmtId="169" formatCode="#,##0\ &quot;$&quot;"/>
    </dxf>
    <dxf>
      <font>
        <color rgb="FF01B1A3"/>
      </font>
    </dxf>
    <dxf>
      <font>
        <color rgb="FFDE7370"/>
      </font>
    </dxf>
    <dxf>
      <font>
        <color rgb="FF01B1A3"/>
      </font>
    </dxf>
    <dxf>
      <font>
        <color rgb="FFDE7370"/>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72" formatCode="[$£-809]#,##0"/>
    </dxf>
    <dxf>
      <numFmt numFmtId="166" formatCode="[$R$-416]\ #,##0"/>
    </dxf>
    <dxf>
      <font>
        <color rgb="FFDE7370"/>
      </font>
    </dxf>
    <dxf>
      <font>
        <color rgb="FF01B1A3"/>
      </font>
    </dxf>
    <dxf>
      <font>
        <color rgb="FFDE7370"/>
      </font>
    </dxf>
    <dxf>
      <font>
        <color rgb="FF01B1A3"/>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66" formatCode="[$R$-416]\ #,##0"/>
    </dxf>
    <dxf>
      <numFmt numFmtId="172" formatCode="[$£-809]#,##0"/>
    </dxf>
    <dxf>
      <font>
        <color rgb="FFDE7370"/>
      </font>
    </dxf>
    <dxf>
      <font>
        <color rgb="FF01B1A3"/>
      </font>
    </dxf>
    <dxf>
      <font>
        <color rgb="FFDE7370"/>
      </font>
    </dxf>
    <dxf>
      <font>
        <color rgb="FF01B1A3"/>
      </font>
    </dxf>
    <dxf>
      <numFmt numFmtId="3" formatCode="#,##0"/>
    </dxf>
    <dxf>
      <numFmt numFmtId="13" formatCode="0%"/>
    </dxf>
    <dxf>
      <numFmt numFmtId="165" formatCode="0.0%"/>
    </dxf>
    <dxf>
      <numFmt numFmtId="169" formatCode="#,##0\ &quot;$&quot;"/>
    </dxf>
    <dxf>
      <numFmt numFmtId="168" formatCode="[$$-409]#,##0"/>
    </dxf>
    <dxf>
      <numFmt numFmtId="167" formatCode="#,##0\ [$€-1]"/>
    </dxf>
    <dxf>
      <numFmt numFmtId="172" formatCode="[$£-809]#,##0"/>
    </dxf>
    <dxf>
      <numFmt numFmtId="166" formatCode="[$R$-416]\ #,##0"/>
    </dxf>
    <dxf>
      <numFmt numFmtId="171" formatCode="[$-F400]h:mm:ss\ AM/PM"/>
    </dxf>
    <dxf>
      <numFmt numFmtId="173" formatCode="0.0"/>
    </dxf>
    <dxf>
      <font>
        <color rgb="FFDE7370"/>
      </font>
    </dxf>
    <dxf>
      <font>
        <color rgb="FFDE7370"/>
      </font>
    </dxf>
    <dxf>
      <font>
        <color rgb="FF01B1A3"/>
      </font>
    </dxf>
    <dxf>
      <font>
        <color rgb="FF01B1A3"/>
      </font>
    </dxf>
    <dxf>
      <numFmt numFmtId="168" formatCode="[$$-409]#,##0"/>
    </dxf>
    <dxf>
      <numFmt numFmtId="169" formatCode="#,##0\ &quot;$&quot;"/>
    </dxf>
    <dxf>
      <numFmt numFmtId="167" formatCode="#,##0\ [$€-1]"/>
    </dxf>
    <dxf>
      <numFmt numFmtId="171" formatCode="[$-F400]h:mm:ss\ AM/PM"/>
    </dxf>
    <dxf>
      <numFmt numFmtId="173" formatCode="0.0"/>
    </dxf>
    <dxf>
      <numFmt numFmtId="3" formatCode="#,##0"/>
    </dxf>
    <dxf>
      <numFmt numFmtId="165" formatCode="0.0%"/>
    </dxf>
    <dxf>
      <numFmt numFmtId="13" formatCode="0%"/>
    </dxf>
    <dxf>
      <numFmt numFmtId="166" formatCode="[$R$-416]\ #,##0"/>
    </dxf>
    <dxf>
      <numFmt numFmtId="172" formatCode="[$£-809]#,##0"/>
    </dxf>
    <dxf>
      <font>
        <color rgb="FF01B1A3"/>
      </font>
    </dxf>
    <dxf>
      <font>
        <color rgb="FFDE7370"/>
      </font>
    </dxf>
    <dxf>
      <font>
        <color rgb="FF01B1A3"/>
      </font>
    </dxf>
    <dxf>
      <font>
        <color rgb="FFDE7370"/>
      </font>
    </dxf>
    <dxf>
      <numFmt numFmtId="169" formatCode="#,##0\ &quot;$&quot;"/>
    </dxf>
    <dxf>
      <numFmt numFmtId="3" formatCode="#,##0"/>
    </dxf>
    <dxf>
      <numFmt numFmtId="173" formatCode="0.0"/>
    </dxf>
    <dxf>
      <numFmt numFmtId="168" formatCode="[$$-409]#,##0"/>
    </dxf>
    <dxf>
      <numFmt numFmtId="171" formatCode="[$-F400]h:mm:ss\ AM/PM"/>
    </dxf>
    <dxf>
      <numFmt numFmtId="166" formatCode="[$R$-416]\ #,##0"/>
    </dxf>
    <dxf>
      <numFmt numFmtId="172" formatCode="[$£-809]#,##0"/>
    </dxf>
    <dxf>
      <numFmt numFmtId="13" formatCode="0%"/>
    </dxf>
    <dxf>
      <numFmt numFmtId="165" formatCode="0.0%"/>
    </dxf>
    <dxf>
      <numFmt numFmtId="167" formatCode="#,##0\ [$€-1]"/>
    </dxf>
    <dxf>
      <font>
        <color rgb="FF01B1A3"/>
      </font>
    </dxf>
    <dxf>
      <font>
        <color rgb="FFDE7370"/>
      </font>
    </dxf>
    <dxf>
      <font>
        <color rgb="FFDE7370"/>
      </font>
    </dxf>
    <dxf>
      <font>
        <color rgb="FF01B1A3"/>
      </font>
    </dxf>
    <dxf>
      <numFmt numFmtId="166" formatCode="[$R$-416]\ #,##0"/>
    </dxf>
    <dxf>
      <numFmt numFmtId="172" formatCode="[$£-809]#,##0"/>
    </dxf>
    <dxf>
      <numFmt numFmtId="173" formatCode="0.0"/>
    </dxf>
    <dxf>
      <numFmt numFmtId="3" formatCode="#,##0"/>
    </dxf>
    <dxf>
      <numFmt numFmtId="165" formatCode="0.0%"/>
    </dxf>
    <dxf>
      <numFmt numFmtId="13" formatCode="0%"/>
    </dxf>
    <dxf>
      <numFmt numFmtId="167" formatCode="#,##0\ [$€-1]"/>
    </dxf>
    <dxf>
      <numFmt numFmtId="169" formatCode="#,##0\ &quot;$&quot;"/>
    </dxf>
    <dxf>
      <numFmt numFmtId="171" formatCode="[$-F400]h:mm:ss\ AM/PM"/>
    </dxf>
    <dxf>
      <numFmt numFmtId="168" formatCode="[$$-409]#,##0"/>
    </dxf>
    <dxf>
      <font>
        <color rgb="FF01B1A3"/>
      </font>
    </dxf>
    <dxf>
      <font>
        <color rgb="FFDE7370"/>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9" formatCode="#,##0\ &quot;$&quot;"/>
    </dxf>
    <dxf>
      <numFmt numFmtId="3" formatCode="#,##0"/>
    </dxf>
    <dxf>
      <numFmt numFmtId="165" formatCode="0.0%"/>
    </dxf>
    <dxf>
      <numFmt numFmtId="13" formatCode="0%"/>
    </dxf>
    <dxf>
      <numFmt numFmtId="168" formatCode="[$$-409]#,##0"/>
    </dxf>
    <dxf>
      <numFmt numFmtId="173" formatCode="0.0"/>
    </dxf>
    <dxf>
      <font>
        <color rgb="FF01B1A3"/>
      </font>
    </dxf>
    <dxf>
      <font>
        <color rgb="FFDE7370"/>
      </font>
    </dxf>
    <dxf>
      <font>
        <color rgb="FF01B1A3"/>
      </font>
    </dxf>
    <dxf>
      <font>
        <color rgb="FFDE7370"/>
      </font>
    </dxf>
    <dxf>
      <numFmt numFmtId="166" formatCode="[$R$-416]\ #,##0"/>
    </dxf>
    <dxf>
      <numFmt numFmtId="171" formatCode="[$-F400]h:mm:ss\ AM/PM"/>
    </dxf>
    <dxf>
      <numFmt numFmtId="172" formatCode="[$£-809]#,##0"/>
    </dxf>
    <dxf>
      <numFmt numFmtId="167" formatCode="#,##0\ [$€-1]"/>
    </dxf>
    <dxf>
      <numFmt numFmtId="168" formatCode="[$$-409]#,##0"/>
    </dxf>
    <dxf>
      <numFmt numFmtId="169" formatCode="#,##0\ &quot;$&quot;"/>
    </dxf>
    <dxf>
      <numFmt numFmtId="3" formatCode="#,##0"/>
    </dxf>
    <dxf>
      <numFmt numFmtId="165" formatCode="0.0%"/>
    </dxf>
    <dxf>
      <numFmt numFmtId="13" formatCode="0%"/>
    </dxf>
    <dxf>
      <numFmt numFmtId="173" formatCode="0.0"/>
    </dxf>
    <dxf>
      <font>
        <color rgb="FFDE7370"/>
      </font>
    </dxf>
    <dxf>
      <font>
        <color rgb="FF01B1A3"/>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8" formatCode="[$$-409]#,##0"/>
    </dxf>
    <dxf>
      <numFmt numFmtId="169" formatCode="#,##0\ &quot;$&quot;"/>
    </dxf>
    <dxf>
      <numFmt numFmtId="173" formatCode="0.0"/>
    </dxf>
    <dxf>
      <numFmt numFmtId="3" formatCode="#,##0"/>
    </dxf>
    <dxf>
      <numFmt numFmtId="165" formatCode="0.0%"/>
    </dxf>
    <dxf>
      <numFmt numFmtId="13" formatCode="0%"/>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dxf>
    <dxf>
      <font>
        <color rgb="FFDE7370"/>
      </font>
    </dxf>
    <dxf>
      <font>
        <color rgb="FF01B1A3"/>
      </font>
    </dxf>
    <dxf>
      <font>
        <color rgb="FFDE7370"/>
      </font>
    </dxf>
    <dxf>
      <font>
        <color rgb="FF01B1A3"/>
      </font>
    </dxf>
    <dxf>
      <numFmt numFmtId="165" formatCode="0.0%"/>
    </dxf>
    <dxf>
      <numFmt numFmtId="171" formatCode="[$-F400]h:mm:ss\ AM/PM"/>
    </dxf>
    <dxf>
      <numFmt numFmtId="166" formatCode="[$R$-416]\ #,##0"/>
    </dxf>
    <dxf>
      <numFmt numFmtId="172" formatCode="[$£-809]#,##0"/>
    </dxf>
    <dxf>
      <numFmt numFmtId="167" formatCode="#,##0\ [$€-1]"/>
    </dxf>
    <dxf>
      <numFmt numFmtId="168" formatCode="[$$-409]#,##0"/>
    </dxf>
    <dxf>
      <numFmt numFmtId="13" formatCode="0%"/>
    </dxf>
    <dxf>
      <numFmt numFmtId="3" formatCode="#,##0"/>
    </dxf>
    <dxf>
      <numFmt numFmtId="173" formatCode="0.0"/>
    </dxf>
    <dxf>
      <numFmt numFmtId="169" formatCode="#,##0\ &quot;$&quot;"/>
    </dxf>
    <dxf>
      <font>
        <color rgb="FF01B1A3"/>
      </font>
    </dxf>
    <dxf>
      <font>
        <color rgb="FFDE7370"/>
      </font>
    </dxf>
    <dxf>
      <font>
        <color rgb="FF01B1A3"/>
      </font>
    </dxf>
    <dxf>
      <font>
        <color rgb="FFDE7370"/>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72" formatCode="[$£-809]#,##0"/>
    </dxf>
    <dxf>
      <numFmt numFmtId="166" formatCode="[$R$-416]\ #,##0"/>
    </dxf>
    <dxf>
      <font>
        <color rgb="FFDE7370"/>
      </font>
    </dxf>
    <dxf>
      <font>
        <color rgb="FF01B1A3"/>
      </font>
    </dxf>
    <dxf>
      <font>
        <color rgb="FFDE7370"/>
      </font>
    </dxf>
    <dxf>
      <font>
        <color rgb="FF01B1A3"/>
      </font>
    </dxf>
    <dxf>
      <numFmt numFmtId="171" formatCode="[$-F400]h:mm:ss\ AM/PM"/>
    </dxf>
    <dxf>
      <numFmt numFmtId="13" formatCode="0%"/>
    </dxf>
    <dxf>
      <numFmt numFmtId="165" formatCode="0.0%"/>
    </dxf>
    <dxf>
      <numFmt numFmtId="3" formatCode="#,##0"/>
    </dxf>
    <dxf>
      <numFmt numFmtId="173" formatCode="0.0"/>
    </dxf>
    <dxf>
      <numFmt numFmtId="169" formatCode="#,##0\ &quot;$&quot;"/>
    </dxf>
    <dxf>
      <numFmt numFmtId="168" formatCode="[$$-409]#,##0"/>
    </dxf>
    <dxf>
      <numFmt numFmtId="167" formatCode="#,##0\ [$€-1]"/>
    </dxf>
    <dxf>
      <numFmt numFmtId="166" formatCode="[$R$-416]\ #,##0"/>
    </dxf>
    <dxf>
      <numFmt numFmtId="172" formatCode="[$£-809]#,##0"/>
    </dxf>
    <dxf>
      <font>
        <color rgb="FFDE7370"/>
      </font>
    </dxf>
    <dxf>
      <font>
        <color rgb="FF01B1A3"/>
      </font>
    </dxf>
    <dxf>
      <font>
        <color rgb="FFDE7370"/>
      </font>
    </dxf>
    <dxf>
      <font>
        <color rgb="FF01B1A3"/>
      </font>
    </dxf>
    <dxf>
      <numFmt numFmtId="3" formatCode="#,##0"/>
    </dxf>
    <dxf>
      <numFmt numFmtId="13" formatCode="0%"/>
    </dxf>
    <dxf>
      <numFmt numFmtId="165" formatCode="0.0%"/>
    </dxf>
    <dxf>
      <numFmt numFmtId="169" formatCode="#,##0\ &quot;$&quot;"/>
    </dxf>
    <dxf>
      <numFmt numFmtId="168" formatCode="[$$-409]#,##0"/>
    </dxf>
    <dxf>
      <numFmt numFmtId="167" formatCode="#,##0\ [$€-1]"/>
    </dxf>
    <dxf>
      <numFmt numFmtId="172" formatCode="[$£-809]#,##0"/>
    </dxf>
    <dxf>
      <numFmt numFmtId="166" formatCode="[$R$-416]\ #,##0"/>
    </dxf>
    <dxf>
      <numFmt numFmtId="171" formatCode="[$-F400]h:mm:ss\ AM/PM"/>
    </dxf>
    <dxf>
      <numFmt numFmtId="173" formatCode="0.0"/>
    </dxf>
    <dxf>
      <font>
        <color rgb="FFDE7370"/>
      </font>
    </dxf>
    <dxf>
      <font>
        <color rgb="FFDE7370"/>
      </font>
    </dxf>
    <dxf>
      <font>
        <color rgb="FF01B1A3"/>
      </font>
    </dxf>
    <dxf>
      <font>
        <color rgb="FF01B1A3"/>
      </font>
    </dxf>
    <dxf>
      <numFmt numFmtId="168" formatCode="[$$-409]#,##0"/>
    </dxf>
    <dxf>
      <numFmt numFmtId="169" formatCode="#,##0\ &quot;$&quot;"/>
    </dxf>
    <dxf>
      <numFmt numFmtId="167" formatCode="#,##0\ [$€-1]"/>
    </dxf>
    <dxf>
      <numFmt numFmtId="171" formatCode="[$-F400]h:mm:ss\ AM/PM"/>
    </dxf>
    <dxf>
      <numFmt numFmtId="173" formatCode="0.0"/>
    </dxf>
    <dxf>
      <numFmt numFmtId="3" formatCode="#,##0"/>
    </dxf>
    <dxf>
      <numFmt numFmtId="165" formatCode="0.0%"/>
    </dxf>
    <dxf>
      <numFmt numFmtId="13" formatCode="0%"/>
    </dxf>
    <dxf>
      <numFmt numFmtId="166" formatCode="[$R$-416]\ #,##0"/>
    </dxf>
    <dxf>
      <numFmt numFmtId="172" formatCode="[$£-809]#,##0"/>
    </dxf>
    <dxf>
      <font>
        <color rgb="FF01B1A3"/>
      </font>
    </dxf>
    <dxf>
      <font>
        <color rgb="FFDE7370"/>
      </font>
    </dxf>
    <dxf>
      <font>
        <color rgb="FF01B1A3"/>
      </font>
    </dxf>
    <dxf>
      <font>
        <color rgb="FFDE7370"/>
      </font>
    </dxf>
    <dxf>
      <numFmt numFmtId="169" formatCode="#,##0\ &quot;$&quot;"/>
    </dxf>
    <dxf>
      <numFmt numFmtId="3" formatCode="#,##0"/>
    </dxf>
    <dxf>
      <numFmt numFmtId="173" formatCode="0.0"/>
    </dxf>
    <dxf>
      <numFmt numFmtId="168" formatCode="[$$-409]#,##0"/>
    </dxf>
    <dxf>
      <numFmt numFmtId="171" formatCode="[$-F400]h:mm:ss\ AM/PM"/>
    </dxf>
    <dxf>
      <numFmt numFmtId="166" formatCode="[$R$-416]\ #,##0"/>
    </dxf>
    <dxf>
      <numFmt numFmtId="172" formatCode="[$£-809]#,##0"/>
    </dxf>
    <dxf>
      <numFmt numFmtId="13" formatCode="0%"/>
    </dxf>
    <dxf>
      <numFmt numFmtId="165" formatCode="0.0%"/>
    </dxf>
    <dxf>
      <numFmt numFmtId="167" formatCode="#,##0\ [$€-1]"/>
    </dxf>
    <dxf>
      <font>
        <color rgb="FF01B1A3"/>
      </font>
    </dxf>
    <dxf>
      <font>
        <color rgb="FFDE7370"/>
      </font>
    </dxf>
    <dxf>
      <font>
        <color rgb="FFDE7370"/>
      </font>
    </dxf>
    <dxf>
      <font>
        <color rgb="FF01B1A3"/>
      </font>
    </dxf>
    <dxf>
      <numFmt numFmtId="166" formatCode="[$R$-416]\ #,##0"/>
    </dxf>
    <dxf>
      <numFmt numFmtId="172" formatCode="[$£-809]#,##0"/>
    </dxf>
    <dxf>
      <numFmt numFmtId="173" formatCode="0.0"/>
    </dxf>
    <dxf>
      <numFmt numFmtId="3" formatCode="#,##0"/>
    </dxf>
    <dxf>
      <numFmt numFmtId="165" formatCode="0.0%"/>
    </dxf>
    <dxf>
      <numFmt numFmtId="13" formatCode="0%"/>
    </dxf>
    <dxf>
      <numFmt numFmtId="167" formatCode="#,##0\ [$€-1]"/>
    </dxf>
    <dxf>
      <numFmt numFmtId="169" formatCode="#,##0\ &quot;$&quot;"/>
    </dxf>
    <dxf>
      <numFmt numFmtId="171" formatCode="[$-F400]h:mm:ss\ AM/PM"/>
    </dxf>
    <dxf>
      <numFmt numFmtId="168" formatCode="[$$-409]#,##0"/>
    </dxf>
    <dxf>
      <font>
        <color rgb="FF01B1A3"/>
      </font>
    </dxf>
    <dxf>
      <font>
        <color rgb="FFDE7370"/>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9" formatCode="#,##0\ &quot;$&quot;"/>
    </dxf>
    <dxf>
      <numFmt numFmtId="3" formatCode="#,##0"/>
    </dxf>
    <dxf>
      <numFmt numFmtId="165" formatCode="0.0%"/>
    </dxf>
    <dxf>
      <numFmt numFmtId="13" formatCode="0%"/>
    </dxf>
    <dxf>
      <numFmt numFmtId="168" formatCode="[$$-409]#,##0"/>
    </dxf>
    <dxf>
      <numFmt numFmtId="173" formatCode="0.0"/>
    </dxf>
    <dxf>
      <font>
        <color rgb="FF01B1A3"/>
      </font>
    </dxf>
    <dxf>
      <font>
        <color rgb="FFDE7370"/>
      </font>
    </dxf>
    <dxf>
      <font>
        <color rgb="FF01B1A3"/>
      </font>
    </dxf>
    <dxf>
      <font>
        <color rgb="FFDE7370"/>
      </font>
    </dxf>
    <dxf>
      <numFmt numFmtId="166" formatCode="[$R$-416]\ #,##0"/>
    </dxf>
    <dxf>
      <numFmt numFmtId="171" formatCode="[$-F400]h:mm:ss\ AM/PM"/>
    </dxf>
    <dxf>
      <numFmt numFmtId="172" formatCode="[$£-809]#,##0"/>
    </dxf>
    <dxf>
      <numFmt numFmtId="167" formatCode="#,##0\ [$€-1]"/>
    </dxf>
    <dxf>
      <numFmt numFmtId="168" formatCode="[$$-409]#,##0"/>
    </dxf>
    <dxf>
      <numFmt numFmtId="169" formatCode="#,##0\ &quot;$&quot;"/>
    </dxf>
    <dxf>
      <numFmt numFmtId="3" formatCode="#,##0"/>
    </dxf>
    <dxf>
      <numFmt numFmtId="165" formatCode="0.0%"/>
    </dxf>
    <dxf>
      <numFmt numFmtId="13" formatCode="0%"/>
    </dxf>
    <dxf>
      <numFmt numFmtId="173" formatCode="0.0"/>
    </dxf>
    <dxf>
      <font>
        <color rgb="FFDE7370"/>
      </font>
    </dxf>
    <dxf>
      <font>
        <color rgb="FF01B1A3"/>
      </font>
    </dxf>
    <dxf>
      <font>
        <color rgb="FF01B1A3"/>
      </font>
    </dxf>
    <dxf>
      <font>
        <color rgb="FFDE7370"/>
      </font>
    </dxf>
    <dxf>
      <numFmt numFmtId="171" formatCode="[$-F400]h:mm:ss\ AM/PM"/>
    </dxf>
    <dxf>
      <numFmt numFmtId="166" formatCode="[$R$-416]\ #,##0"/>
    </dxf>
    <dxf>
      <numFmt numFmtId="172" formatCode="[$£-809]#,##0"/>
    </dxf>
    <dxf>
      <numFmt numFmtId="167" formatCode="#,##0\ [$€-1]"/>
    </dxf>
    <dxf>
      <numFmt numFmtId="168" formatCode="[$$-409]#,##0"/>
    </dxf>
    <dxf>
      <numFmt numFmtId="169" formatCode="#,##0\ &quot;$&quot;"/>
    </dxf>
    <dxf>
      <numFmt numFmtId="173" formatCode="0.0"/>
    </dxf>
    <dxf>
      <numFmt numFmtId="3" formatCode="#,##0"/>
    </dxf>
    <dxf>
      <numFmt numFmtId="165" formatCode="0.0%"/>
    </dxf>
    <dxf>
      <numFmt numFmtId="13" formatCode="0%"/>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border>
        <left/>
        <right/>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colors>
    <mruColors>
      <color rgb="FF2B353E"/>
      <color rgb="FF072146"/>
      <color rgb="FF55B03E"/>
      <color rgb="FFF0462E"/>
      <color rgb="FF01B1A3"/>
      <color rgb="FFF7F7F7"/>
      <color rgb="FF3F3F3F"/>
      <color rgb="FF343434"/>
      <color rgb="FF435361"/>
      <color rgb="FFF2C8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69242733547195"/>
          <c:y val="3.6597598821353564E-2"/>
          <c:w val="0.45034013605442175"/>
          <c:h val="0.75056689342403626"/>
        </c:manualLayout>
      </c:layout>
      <c:doughnutChart>
        <c:varyColors val="1"/>
        <c:ser>
          <c:idx val="0"/>
          <c:order val="0"/>
          <c:spPr>
            <a:ln>
              <a:noFill/>
            </a:ln>
          </c:spPr>
          <c:dPt>
            <c:idx val="0"/>
            <c:bubble3D val="0"/>
            <c:spPr>
              <a:solidFill>
                <a:schemeClr val="bg1">
                  <a:lumMod val="85000"/>
                </a:schemeClr>
              </a:solidFill>
              <a:ln w="19050">
                <a:noFill/>
              </a:ln>
              <a:effectLst/>
            </c:spPr>
            <c:extLst>
              <c:ext xmlns:c16="http://schemas.microsoft.com/office/drawing/2014/chart" uri="{C3380CC4-5D6E-409C-BE32-E72D297353CC}">
                <c16:uniqueId val="{00000001-1DD7-44AB-A783-43820DE10E2A}"/>
              </c:ext>
            </c:extLst>
          </c:dPt>
          <c:dPt>
            <c:idx val="1"/>
            <c:bubble3D val="0"/>
            <c:spPr>
              <a:solidFill>
                <a:srgbClr val="01B1A3"/>
              </a:solidFill>
              <a:ln w="19050">
                <a:noFill/>
              </a:ln>
              <a:effectLst/>
            </c:spPr>
            <c:extLst>
              <c:ext xmlns:c16="http://schemas.microsoft.com/office/drawing/2014/chart" uri="{C3380CC4-5D6E-409C-BE32-E72D297353CC}">
                <c16:uniqueId val="{00000003-1DD7-44AB-A783-43820DE10E2A}"/>
              </c:ext>
            </c:extLst>
          </c:dPt>
          <c:dPt>
            <c:idx val="2"/>
            <c:bubble3D val="0"/>
            <c:spPr>
              <a:solidFill>
                <a:srgbClr val="DE7370"/>
              </a:solidFill>
              <a:ln w="19050">
                <a:noFill/>
              </a:ln>
              <a:effectLst/>
            </c:spPr>
            <c:extLst>
              <c:ext xmlns:c16="http://schemas.microsoft.com/office/drawing/2014/chart" uri="{C3380CC4-5D6E-409C-BE32-E72D297353CC}">
                <c16:uniqueId val="{00000005-1DD7-44AB-A783-43820DE10E2A}"/>
              </c:ext>
            </c:extLst>
          </c:dPt>
          <c:val>
            <c:numRef>
              <c:f>APDashboard!$O$6:$O$8</c:f>
              <c:numCache>
                <c:formatCode>General</c:formatCode>
                <c:ptCount val="3"/>
                <c:pt idx="0">
                  <c:v>7</c:v>
                </c:pt>
                <c:pt idx="1">
                  <c:v>353</c:v>
                </c:pt>
                <c:pt idx="2">
                  <c:v>0</c:v>
                </c:pt>
              </c:numCache>
            </c:numRef>
          </c:val>
          <c:extLst>
            <c:ext xmlns:c16="http://schemas.microsoft.com/office/drawing/2014/chart" uri="{C3380CC4-5D6E-409C-BE32-E72D297353CC}">
              <c16:uniqueId val="{00000006-1DD7-44AB-A783-43820DE10E2A}"/>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rgbClr val="F0462E"/>
              </a:solidFill>
              <a:ln w="19050">
                <a:noFill/>
              </a:ln>
              <a:effectLst/>
            </c:spPr>
            <c:extLst>
              <c:ext xmlns:c16="http://schemas.microsoft.com/office/drawing/2014/chart" uri="{C3380CC4-5D6E-409C-BE32-E72D297353CC}">
                <c16:uniqueId val="{00000002-5C87-4DB9-A5CA-145846C91B59}"/>
              </c:ext>
            </c:extLst>
          </c:dPt>
          <c:dPt>
            <c:idx val="1"/>
            <c:bubble3D val="0"/>
            <c:spPr>
              <a:solidFill>
                <a:srgbClr val="01B1A3"/>
              </a:solidFill>
              <a:ln w="19050">
                <a:noFill/>
              </a:ln>
              <a:effectLst/>
            </c:spPr>
            <c:extLst>
              <c:ext xmlns:c16="http://schemas.microsoft.com/office/drawing/2014/chart" uri="{C3380CC4-5D6E-409C-BE32-E72D297353CC}">
                <c16:uniqueId val="{00000003-5C87-4DB9-A5CA-145846C91B59}"/>
              </c:ext>
            </c:extLst>
          </c:dPt>
          <c:dPt>
            <c:idx val="2"/>
            <c:bubble3D val="0"/>
            <c:spPr>
              <a:solidFill>
                <a:srgbClr val="F7F7F7"/>
              </a:solidFill>
              <a:ln w="19050">
                <a:noFill/>
              </a:ln>
              <a:effectLst/>
            </c:spPr>
            <c:extLst>
              <c:ext xmlns:c16="http://schemas.microsoft.com/office/drawing/2014/chart" uri="{C3380CC4-5D6E-409C-BE32-E72D297353CC}">
                <c16:uniqueId val="{00000001-5C87-4DB9-A5CA-145846C91B59}"/>
              </c:ext>
            </c:extLst>
          </c:dPt>
          <c:val>
            <c:numRef>
              <c:f>SDashboard!$D$38:$D$40</c:f>
              <c:numCache>
                <c:formatCode>0.00%</c:formatCode>
                <c:ptCount val="3"/>
                <c:pt idx="0">
                  <c:v>0</c:v>
                </c:pt>
                <c:pt idx="1">
                  <c:v>1.008097853375878</c:v>
                </c:pt>
                <c:pt idx="2">
                  <c:v>0</c:v>
                </c:pt>
              </c:numCache>
            </c:numRef>
          </c:val>
          <c:extLst>
            <c:ext xmlns:c16="http://schemas.microsoft.com/office/drawing/2014/chart" uri="{C3380CC4-5D6E-409C-BE32-E72D297353CC}">
              <c16:uniqueId val="{00000000-5C87-4DB9-A5CA-145846C91B59}"/>
            </c:ext>
          </c:extLst>
        </c:ser>
        <c:dLbls>
          <c:showLegendKey val="0"/>
          <c:showVal val="0"/>
          <c:showCatName val="0"/>
          <c:showSerName val="0"/>
          <c:showPercent val="0"/>
          <c:showBubbleSize val="0"/>
          <c:showLeaderLines val="1"/>
        </c:dLbls>
        <c:firstSliceAng val="0"/>
        <c:holeSize val="79"/>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rgbClr val="DE7370"/>
              </a:solidFill>
              <a:ln w="19050">
                <a:noFill/>
              </a:ln>
              <a:effectLst/>
            </c:spPr>
            <c:extLst>
              <c:ext xmlns:c16="http://schemas.microsoft.com/office/drawing/2014/chart" uri="{C3380CC4-5D6E-409C-BE32-E72D297353CC}">
                <c16:uniqueId val="{00000001-AAF2-4E5C-BAB1-64AA6F2F1985}"/>
              </c:ext>
            </c:extLst>
          </c:dPt>
          <c:dPt>
            <c:idx val="1"/>
            <c:bubble3D val="0"/>
            <c:spPr>
              <a:solidFill>
                <a:srgbClr val="55B03E"/>
              </a:solidFill>
              <a:ln w="19050">
                <a:noFill/>
              </a:ln>
              <a:effectLst/>
            </c:spPr>
            <c:extLst>
              <c:ext xmlns:c16="http://schemas.microsoft.com/office/drawing/2014/chart" uri="{C3380CC4-5D6E-409C-BE32-E72D297353CC}">
                <c16:uniqueId val="{00000003-AAF2-4E5C-BAB1-64AA6F2F1985}"/>
              </c:ext>
            </c:extLst>
          </c:dPt>
          <c:dPt>
            <c:idx val="2"/>
            <c:bubble3D val="0"/>
            <c:spPr>
              <a:solidFill>
                <a:srgbClr val="F7F7F7"/>
              </a:solidFill>
              <a:ln w="19050">
                <a:noFill/>
              </a:ln>
              <a:effectLst/>
            </c:spPr>
            <c:extLst>
              <c:ext xmlns:c16="http://schemas.microsoft.com/office/drawing/2014/chart" uri="{C3380CC4-5D6E-409C-BE32-E72D297353CC}">
                <c16:uniqueId val="{00000005-AAF2-4E5C-BAB1-64AA6F2F1985}"/>
              </c:ext>
            </c:extLst>
          </c:dPt>
          <c:val>
            <c:numRef>
              <c:f>SDashboard!$E$38:$E$40</c:f>
              <c:numCache>
                <c:formatCode>0.00%</c:formatCode>
                <c:ptCount val="3"/>
                <c:pt idx="0">
                  <c:v>1.2749999999999999</c:v>
                </c:pt>
                <c:pt idx="1">
                  <c:v>0</c:v>
                </c:pt>
                <c:pt idx="2">
                  <c:v>0</c:v>
                </c:pt>
              </c:numCache>
            </c:numRef>
          </c:val>
          <c:extLst>
            <c:ext xmlns:c16="http://schemas.microsoft.com/office/drawing/2014/chart" uri="{C3380CC4-5D6E-409C-BE32-E72D297353CC}">
              <c16:uniqueId val="{00000006-AAF2-4E5C-BAB1-64AA6F2F1985}"/>
            </c:ext>
          </c:extLst>
        </c:ser>
        <c:dLbls>
          <c:showLegendKey val="0"/>
          <c:showVal val="0"/>
          <c:showCatName val="0"/>
          <c:showSerName val="0"/>
          <c:showPercent val="0"/>
          <c:showBubbleSize val="0"/>
          <c:showLeaderLines val="1"/>
        </c:dLbls>
        <c:firstSliceAng val="0"/>
        <c:holeSize val="79"/>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AuxDash!$C$84</c:f>
              <c:strCache>
                <c:ptCount val="1"/>
                <c:pt idx="0">
                  <c:v>Alcanzado</c:v>
                </c:pt>
              </c:strCache>
            </c:strRef>
          </c:tx>
          <c:spPr>
            <a:solidFill>
              <a:srgbClr val="55B0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AuxDash!$B$94:$B$99</c:f>
              <c:strCache>
                <c:ptCount val="6"/>
                <c:pt idx="0">
                  <c:v>Desarrollar y fidelizar al talento humano de la empresa.</c:v>
                </c:pt>
                <c:pt idx="1">
                  <c:v>Incrementar las ventas a través de plataformas digitales.</c:v>
                </c:pt>
                <c:pt idx="2">
                  <c:v>Asegurar la calidad e inocuidad de los productos en todos los procesos de la planta.</c:v>
                </c:pt>
                <c:pt idx="3">
                  <c:v>Fortalecer el posicionamiento de la marca Caracolitos a nivel nacional.</c:v>
                </c:pt>
                <c:pt idx="4">
                  <c:v>Mejorar la productividad de los procesos operativos en planta.</c:v>
                </c:pt>
                <c:pt idx="5">
                  <c:v>Expandir la presencia nacional de Caracolitos mediante la apertura de nuevas sucursales.</c:v>
                </c:pt>
              </c:strCache>
            </c:strRef>
          </c:cat>
          <c:val>
            <c:numRef>
              <c:f>AuxDash!$C$94:$C$99</c:f>
              <c:numCache>
                <c:formatCode>General</c:formatCode>
                <c:ptCount val="6"/>
                <c:pt idx="0">
                  <c:v>2</c:v>
                </c:pt>
                <c:pt idx="1">
                  <c:v>1</c:v>
                </c:pt>
                <c:pt idx="2">
                  <c:v>1</c:v>
                </c:pt>
                <c:pt idx="3">
                  <c:v>2</c:v>
                </c:pt>
                <c:pt idx="4">
                  <c:v>0</c:v>
                </c:pt>
                <c:pt idx="5">
                  <c:v>1</c:v>
                </c:pt>
              </c:numCache>
            </c:numRef>
          </c:val>
          <c:extLst>
            <c:ext xmlns:c16="http://schemas.microsoft.com/office/drawing/2014/chart" uri="{C3380CC4-5D6E-409C-BE32-E72D297353CC}">
              <c16:uniqueId val="{00000000-7821-446B-9C38-3DB62F82C641}"/>
            </c:ext>
          </c:extLst>
        </c:ser>
        <c:ser>
          <c:idx val="1"/>
          <c:order val="1"/>
          <c:tx>
            <c:strRef>
              <c:f>AuxDash!$D$84</c:f>
              <c:strCache>
                <c:ptCount val="1"/>
                <c:pt idx="0">
                  <c:v>En peligro</c:v>
                </c:pt>
              </c:strCache>
            </c:strRef>
          </c:tx>
          <c:spPr>
            <a:solidFill>
              <a:srgbClr val="F0462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AuxDash!$B$94:$B$99</c:f>
              <c:strCache>
                <c:ptCount val="6"/>
                <c:pt idx="0">
                  <c:v>Desarrollar y fidelizar al talento humano de la empresa.</c:v>
                </c:pt>
                <c:pt idx="1">
                  <c:v>Incrementar las ventas a través de plataformas digitales.</c:v>
                </c:pt>
                <c:pt idx="2">
                  <c:v>Asegurar la calidad e inocuidad de los productos en todos los procesos de la planta.</c:v>
                </c:pt>
                <c:pt idx="3">
                  <c:v>Fortalecer el posicionamiento de la marca Caracolitos a nivel nacional.</c:v>
                </c:pt>
                <c:pt idx="4">
                  <c:v>Mejorar la productividad de los procesos operativos en planta.</c:v>
                </c:pt>
                <c:pt idx="5">
                  <c:v>Expandir la presencia nacional de Caracolitos mediante la apertura de nuevas sucursales.</c:v>
                </c:pt>
              </c:strCache>
            </c:strRef>
          </c:cat>
          <c:val>
            <c:numRef>
              <c:f>AuxDash!$D$94:$D$99</c:f>
              <c:numCache>
                <c:formatCode>General</c:formatCode>
                <c:ptCount val="6"/>
                <c:pt idx="0">
                  <c:v>0</c:v>
                </c:pt>
                <c:pt idx="1">
                  <c:v>1</c:v>
                </c:pt>
                <c:pt idx="2">
                  <c:v>1</c:v>
                </c:pt>
                <c:pt idx="3">
                  <c:v>0</c:v>
                </c:pt>
                <c:pt idx="4">
                  <c:v>1</c:v>
                </c:pt>
                <c:pt idx="5">
                  <c:v>0</c:v>
                </c:pt>
              </c:numCache>
            </c:numRef>
          </c:val>
          <c:extLst>
            <c:ext xmlns:c16="http://schemas.microsoft.com/office/drawing/2014/chart" uri="{C3380CC4-5D6E-409C-BE32-E72D297353CC}">
              <c16:uniqueId val="{00000001-7821-446B-9C38-3DB62F82C641}"/>
            </c:ext>
          </c:extLst>
        </c:ser>
        <c:dLbls>
          <c:showLegendKey val="0"/>
          <c:showVal val="0"/>
          <c:showCatName val="0"/>
          <c:showSerName val="0"/>
          <c:showPercent val="0"/>
          <c:showBubbleSize val="0"/>
        </c:dLbls>
        <c:gapWidth val="41"/>
        <c:overlap val="100"/>
        <c:axId val="579814832"/>
        <c:axId val="579815160"/>
      </c:barChart>
      <c:catAx>
        <c:axId val="579814832"/>
        <c:scaling>
          <c:orientation val="minMax"/>
        </c:scaling>
        <c:delete val="0"/>
        <c:axPos val="l"/>
        <c:majorGridlines>
          <c:spPr>
            <a:ln w="9525" cap="flat" cmpd="sng" algn="ctr">
              <a:solidFill>
                <a:srgbClr val="F7F7F7"/>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PE"/>
          </a:p>
        </c:txPr>
        <c:crossAx val="579815160"/>
        <c:crosses val="autoZero"/>
        <c:auto val="1"/>
        <c:lblAlgn val="ctr"/>
        <c:lblOffset val="100"/>
        <c:noMultiLvlLbl val="0"/>
      </c:catAx>
      <c:valAx>
        <c:axId val="579815160"/>
        <c:scaling>
          <c:orientation val="minMax"/>
        </c:scaling>
        <c:delete val="0"/>
        <c:axPos val="b"/>
        <c:majorGridlines>
          <c:spPr>
            <a:ln w="9525" cap="flat" cmpd="sng" algn="ctr">
              <a:solidFill>
                <a:srgbClr val="F7F7F7"/>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798148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69242733547195"/>
          <c:y val="3.6597598821353564E-2"/>
          <c:w val="0.45034013605442175"/>
          <c:h val="0.75056689342403626"/>
        </c:manualLayout>
      </c:layout>
      <c:doughnutChart>
        <c:varyColors val="1"/>
        <c:ser>
          <c:idx val="0"/>
          <c:order val="0"/>
          <c:spPr>
            <a:ln>
              <a:noFill/>
            </a:ln>
          </c:spPr>
          <c:dPt>
            <c:idx val="0"/>
            <c:bubble3D val="0"/>
            <c:spPr>
              <a:solidFill>
                <a:schemeClr val="bg1">
                  <a:lumMod val="85000"/>
                </a:schemeClr>
              </a:solidFill>
              <a:ln w="19050">
                <a:noFill/>
              </a:ln>
              <a:effectLst/>
            </c:spPr>
            <c:extLst>
              <c:ext xmlns:c16="http://schemas.microsoft.com/office/drawing/2014/chart" uri="{C3380CC4-5D6E-409C-BE32-E72D297353CC}">
                <c16:uniqueId val="{00000002-4ADA-4C32-B8BA-B3CEC30CE2D6}"/>
              </c:ext>
            </c:extLst>
          </c:dPt>
          <c:dPt>
            <c:idx val="1"/>
            <c:bubble3D val="0"/>
            <c:spPr>
              <a:solidFill>
                <a:srgbClr val="01B1A3"/>
              </a:solidFill>
              <a:ln w="19050">
                <a:noFill/>
              </a:ln>
              <a:effectLst/>
            </c:spPr>
            <c:extLst>
              <c:ext xmlns:c16="http://schemas.microsoft.com/office/drawing/2014/chart" uri="{C3380CC4-5D6E-409C-BE32-E72D297353CC}">
                <c16:uniqueId val="{00000001-4ADA-4C32-B8BA-B3CEC30CE2D6}"/>
              </c:ext>
            </c:extLst>
          </c:dPt>
          <c:dPt>
            <c:idx val="2"/>
            <c:bubble3D val="0"/>
            <c:spPr>
              <a:solidFill>
                <a:srgbClr val="DE7370"/>
              </a:solidFill>
              <a:ln w="19050">
                <a:noFill/>
              </a:ln>
              <a:effectLst/>
            </c:spPr>
            <c:extLst>
              <c:ext xmlns:c16="http://schemas.microsoft.com/office/drawing/2014/chart" uri="{C3380CC4-5D6E-409C-BE32-E72D297353CC}">
                <c16:uniqueId val="{00000004-4ADA-4C32-B8BA-B3CEC30CE2D6}"/>
              </c:ext>
            </c:extLst>
          </c:dPt>
          <c:val>
            <c:numRef>
              <c:f>APDashboard!$O$6:$O$8</c:f>
              <c:numCache>
                <c:formatCode>General</c:formatCode>
                <c:ptCount val="3"/>
                <c:pt idx="0">
                  <c:v>7</c:v>
                </c:pt>
                <c:pt idx="1">
                  <c:v>353</c:v>
                </c:pt>
                <c:pt idx="2">
                  <c:v>0</c:v>
                </c:pt>
              </c:numCache>
            </c:numRef>
          </c:val>
          <c:extLst>
            <c:ext xmlns:c16="http://schemas.microsoft.com/office/drawing/2014/chart" uri="{C3380CC4-5D6E-409C-BE32-E72D297353CC}">
              <c16:uniqueId val="{00000000-4ADA-4C32-B8BA-B3CEC30CE2D6}"/>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Lan!$F$111</c:f>
          <c:strCache>
            <c:ptCount val="1"/>
            <c:pt idx="0">
              <c:v>Acciones por status</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75000"/>
                  <a:lumOff val="25000"/>
                </a:schemeClr>
              </a:solidFill>
              <a:latin typeface="+mn-lt"/>
              <a:ea typeface="+mn-ea"/>
              <a:cs typeface="+mn-cs"/>
            </a:defRPr>
          </a:pPr>
          <a:endParaRPr lang="es-PE"/>
        </a:p>
      </c:txPr>
    </c:title>
    <c:autoTitleDeleted val="0"/>
    <c:plotArea>
      <c:layout/>
      <c:barChart>
        <c:barDir val="col"/>
        <c:grouping val="clustered"/>
        <c:varyColors val="0"/>
        <c:ser>
          <c:idx val="0"/>
          <c:order val="0"/>
          <c:spPr>
            <a:solidFill>
              <a:srgbClr val="55B0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AuxPlan!$F$3:$H$3</c:f>
              <c:strCache>
                <c:ptCount val="3"/>
                <c:pt idx="0">
                  <c:v>No iniciado</c:v>
                </c:pt>
                <c:pt idx="1">
                  <c:v>En progreso</c:v>
                </c:pt>
                <c:pt idx="2">
                  <c:v>Concluido</c:v>
                </c:pt>
              </c:strCache>
            </c:strRef>
          </c:cat>
          <c:val>
            <c:numRef>
              <c:f>AuxPlan!$F$64:$H$64</c:f>
              <c:numCache>
                <c:formatCode>General</c:formatCode>
                <c:ptCount val="3"/>
                <c:pt idx="0">
                  <c:v>2</c:v>
                </c:pt>
                <c:pt idx="1">
                  <c:v>2</c:v>
                </c:pt>
                <c:pt idx="2">
                  <c:v>0</c:v>
                </c:pt>
              </c:numCache>
            </c:numRef>
          </c:val>
          <c:extLst>
            <c:ext xmlns:c16="http://schemas.microsoft.com/office/drawing/2014/chart" uri="{C3380CC4-5D6E-409C-BE32-E72D297353CC}">
              <c16:uniqueId val="{00000000-6903-4C62-9C82-AD802728687C}"/>
            </c:ext>
          </c:extLst>
        </c:ser>
        <c:dLbls>
          <c:showLegendKey val="0"/>
          <c:showVal val="0"/>
          <c:showCatName val="0"/>
          <c:showSerName val="0"/>
          <c:showPercent val="0"/>
          <c:showBubbleSize val="0"/>
        </c:dLbls>
        <c:gapWidth val="219"/>
        <c:overlap val="-27"/>
        <c:axId val="657687040"/>
        <c:axId val="657689008"/>
      </c:barChart>
      <c:catAx>
        <c:axId val="657687040"/>
        <c:scaling>
          <c:orientation val="minMax"/>
        </c:scaling>
        <c:delete val="0"/>
        <c:axPos val="b"/>
        <c:majorGridlines>
          <c:spPr>
            <a:ln w="9525" cap="flat" cmpd="sng" algn="ctr">
              <a:solidFill>
                <a:schemeClr val="bg1">
                  <a:lumMod val="9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657689008"/>
        <c:crosses val="autoZero"/>
        <c:auto val="1"/>
        <c:lblAlgn val="ctr"/>
        <c:lblOffset val="100"/>
        <c:noMultiLvlLbl val="0"/>
      </c:catAx>
      <c:valAx>
        <c:axId val="657689008"/>
        <c:scaling>
          <c:orientation val="minMax"/>
        </c:scaling>
        <c:delete val="0"/>
        <c:axPos val="l"/>
        <c:majorGridlines>
          <c:spPr>
            <a:ln w="9525" cap="flat" cmpd="sng" algn="ctr">
              <a:solidFill>
                <a:schemeClr val="bg1">
                  <a:lumMod val="9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657687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Lan!$F$113</c:f>
          <c:strCache>
            <c:ptCount val="1"/>
            <c:pt idx="0">
              <c:v>Progreso de las acciones por metas</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75000"/>
                  <a:lumOff val="25000"/>
                </a:schemeClr>
              </a:solidFill>
              <a:latin typeface="+mn-lt"/>
              <a:ea typeface="+mn-ea"/>
              <a:cs typeface="+mn-cs"/>
            </a:defRPr>
          </a:pPr>
          <a:endParaRPr lang="es-PE"/>
        </a:p>
      </c:txPr>
    </c:title>
    <c:autoTitleDeleted val="0"/>
    <c:plotArea>
      <c:layout/>
      <c:barChart>
        <c:barDir val="bar"/>
        <c:grouping val="clustered"/>
        <c:varyColors val="0"/>
        <c:ser>
          <c:idx val="0"/>
          <c:order val="0"/>
          <c:spPr>
            <a:solidFill>
              <a:srgbClr val="55B0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AuxPlan!$B$96:$B$101</c:f>
              <c:strCache>
                <c:ptCount val="6"/>
                <c:pt idx="0">
                  <c:v>Desarrollar y fidelizar al talento humano de la empresa.</c:v>
                </c:pt>
                <c:pt idx="1">
                  <c:v>Incrementar las ventas a través de plataformas digitales.</c:v>
                </c:pt>
                <c:pt idx="2">
                  <c:v>Asegurar la calidad e inocuidad de los productos en todos los procesos de la planta.</c:v>
                </c:pt>
                <c:pt idx="3">
                  <c:v>Fortalecer el posicionamiento de la marca Caracolitos a nivel nacional.</c:v>
                </c:pt>
                <c:pt idx="4">
                  <c:v>Mejorar la productividad de los procesos operativos en planta.</c:v>
                </c:pt>
                <c:pt idx="5">
                  <c:v>Expandir la presencia nacional de Caracolitos mediante la apertura de nuevas sucursales.</c:v>
                </c:pt>
              </c:strCache>
            </c:strRef>
          </c:cat>
          <c:val>
            <c:numRef>
              <c:f>AuxPlan!$C$96:$C$101</c:f>
              <c:numCache>
                <c:formatCode>0%</c:formatCode>
                <c:ptCount val="6"/>
                <c:pt idx="0">
                  <c:v>0</c:v>
                </c:pt>
                <c:pt idx="1">
                  <c:v>0</c:v>
                </c:pt>
                <c:pt idx="2">
                  <c:v>0</c:v>
                </c:pt>
                <c:pt idx="3">
                  <c:v>0.05</c:v>
                </c:pt>
                <c:pt idx="4">
                  <c:v>0</c:v>
                </c:pt>
                <c:pt idx="5">
                  <c:v>0.2</c:v>
                </c:pt>
              </c:numCache>
            </c:numRef>
          </c:val>
          <c:extLst>
            <c:ext xmlns:c16="http://schemas.microsoft.com/office/drawing/2014/chart" uri="{C3380CC4-5D6E-409C-BE32-E72D297353CC}">
              <c16:uniqueId val="{00000000-50A2-4E9A-A11D-155C7D3EB19D}"/>
            </c:ext>
          </c:extLst>
        </c:ser>
        <c:dLbls>
          <c:showLegendKey val="0"/>
          <c:showVal val="0"/>
          <c:showCatName val="0"/>
          <c:showSerName val="0"/>
          <c:showPercent val="0"/>
          <c:showBubbleSize val="0"/>
        </c:dLbls>
        <c:gapWidth val="108"/>
        <c:axId val="628303000"/>
        <c:axId val="628299720"/>
      </c:barChart>
      <c:catAx>
        <c:axId val="628303000"/>
        <c:scaling>
          <c:orientation val="minMax"/>
        </c:scaling>
        <c:delete val="0"/>
        <c:axPos val="l"/>
        <c:majorGridlines>
          <c:spPr>
            <a:ln w="9525" cap="flat" cmpd="sng" algn="ctr">
              <a:solidFill>
                <a:schemeClr val="bg1">
                  <a:lumMod val="9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PE"/>
          </a:p>
        </c:txPr>
        <c:crossAx val="628299720"/>
        <c:crosses val="autoZero"/>
        <c:auto val="1"/>
        <c:lblAlgn val="ctr"/>
        <c:lblOffset val="100"/>
        <c:noMultiLvlLbl val="0"/>
      </c:catAx>
      <c:valAx>
        <c:axId val="628299720"/>
        <c:scaling>
          <c:orientation val="minMax"/>
        </c:scaling>
        <c:delete val="1"/>
        <c:axPos val="b"/>
        <c:majorGridlines>
          <c:spPr>
            <a:ln w="9525" cap="flat" cmpd="sng" algn="ctr">
              <a:solidFill>
                <a:schemeClr val="bg1">
                  <a:lumMod val="95000"/>
                </a:schemeClr>
              </a:solidFill>
              <a:prstDash val="dash"/>
              <a:round/>
            </a:ln>
            <a:effectLst/>
          </c:spPr>
        </c:majorGridlines>
        <c:numFmt formatCode="0%" sourceLinked="1"/>
        <c:majorTickMark val="none"/>
        <c:minorTickMark val="none"/>
        <c:tickLblPos val="nextTo"/>
        <c:crossAx val="628303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Lan!$F$114</c:f>
          <c:strCache>
            <c:ptCount val="1"/>
            <c:pt idx="0">
              <c:v>Avances de acciones por área estratégica</c:v>
            </c:pt>
          </c:strCache>
        </c:strRef>
      </c:tx>
      <c:layout>
        <c:manualLayout>
          <c:xMode val="edge"/>
          <c:yMode val="edge"/>
          <c:x val="0.26035827689370994"/>
          <c:y val="3.194888178913737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spPr>
            <a:solidFill>
              <a:srgbClr val="55B03E"/>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AuxPlan!$B$86:$B$93</c:f>
              <c:strCache>
                <c:ptCount val="6"/>
                <c:pt idx="0">
                  <c:v>Dirección/Gerencia General (Alta Dirección)</c:v>
                </c:pt>
                <c:pt idx="1">
                  <c:v>Administración</c:v>
                </c:pt>
                <c:pt idx="2">
                  <c:v>Operaciones / Producción</c:v>
                </c:pt>
                <c:pt idx="3">
                  <c:v>Comercialización (Marketing y Ventas)</c:v>
                </c:pt>
                <c:pt idx="4">
                  <c:v>Recursos Humanos</c:v>
                </c:pt>
                <c:pt idx="5">
                  <c:v>Tecnología / Sistemas / Innovación</c:v>
                </c:pt>
              </c:strCache>
            </c:strRef>
          </c:cat>
          <c:val>
            <c:numRef>
              <c:f>AuxPlan!$C$86:$C$93</c:f>
              <c:numCache>
                <c:formatCode>0.0%</c:formatCode>
                <c:ptCount val="8"/>
                <c:pt idx="0">
                  <c:v>0.2</c:v>
                </c:pt>
                <c:pt idx="1">
                  <c:v>0</c:v>
                </c:pt>
                <c:pt idx="2">
                  <c:v>0</c:v>
                </c:pt>
                <c:pt idx="3">
                  <c:v>0.05</c:v>
                </c:pt>
                <c:pt idx="4">
                  <c:v>0</c:v>
                </c:pt>
                <c:pt idx="5">
                  <c:v>0</c:v>
                </c:pt>
                <c:pt idx="6">
                  <c:v>0</c:v>
                </c:pt>
                <c:pt idx="7">
                  <c:v>0</c:v>
                </c:pt>
              </c:numCache>
            </c:numRef>
          </c:val>
          <c:extLst>
            <c:ext xmlns:c16="http://schemas.microsoft.com/office/drawing/2014/chart" uri="{C3380CC4-5D6E-409C-BE32-E72D297353CC}">
              <c16:uniqueId val="{00000000-6BB9-4BDE-A327-CDDB513D7580}"/>
            </c:ext>
          </c:extLst>
        </c:ser>
        <c:dLbls>
          <c:showLegendKey val="0"/>
          <c:showVal val="0"/>
          <c:showCatName val="0"/>
          <c:showSerName val="0"/>
          <c:showPercent val="0"/>
          <c:showBubbleSize val="0"/>
        </c:dLbls>
        <c:gapWidth val="65"/>
        <c:axId val="169766360"/>
        <c:axId val="169766688"/>
      </c:barChart>
      <c:catAx>
        <c:axId val="169766360"/>
        <c:scaling>
          <c:orientation val="maxMin"/>
        </c:scaling>
        <c:delete val="0"/>
        <c:axPos val="l"/>
        <c:majorGridlines>
          <c:spPr>
            <a:ln w="9525" cap="flat" cmpd="sng" algn="ctr">
              <a:solidFill>
                <a:schemeClr val="bg1">
                  <a:lumMod val="9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PE"/>
          </a:p>
        </c:txPr>
        <c:crossAx val="169766688"/>
        <c:crosses val="autoZero"/>
        <c:auto val="1"/>
        <c:lblAlgn val="ctr"/>
        <c:lblOffset val="100"/>
        <c:noMultiLvlLbl val="0"/>
      </c:catAx>
      <c:valAx>
        <c:axId val="169766688"/>
        <c:scaling>
          <c:orientation val="minMax"/>
        </c:scaling>
        <c:delete val="1"/>
        <c:axPos val="t"/>
        <c:majorGridlines>
          <c:spPr>
            <a:ln w="9525" cap="flat" cmpd="sng" algn="ctr">
              <a:solidFill>
                <a:schemeClr val="bg1">
                  <a:lumMod val="95000"/>
                </a:schemeClr>
              </a:solidFill>
              <a:prstDash val="dash"/>
              <a:round/>
            </a:ln>
            <a:effectLst/>
          </c:spPr>
        </c:majorGridlines>
        <c:numFmt formatCode="0.0%" sourceLinked="1"/>
        <c:majorTickMark val="none"/>
        <c:minorTickMark val="none"/>
        <c:tickLblPos val="nextTo"/>
        <c:crossAx val="169766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Lan!$F$112</c:f>
          <c:strCache>
            <c:ptCount val="1"/>
            <c:pt idx="0">
              <c:v>Acciones por objetivo y status</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40252979048350662"/>
          <c:y val="0.25078446663815585"/>
          <c:w val="0.55891039534692311"/>
          <c:h val="0.62568908119711875"/>
        </c:manualLayout>
      </c:layout>
      <c:barChart>
        <c:barDir val="bar"/>
        <c:grouping val="stacked"/>
        <c:varyColors val="0"/>
        <c:ser>
          <c:idx val="0"/>
          <c:order val="0"/>
          <c:tx>
            <c:strRef>
              <c:f>AuxPlan!$C$103</c:f>
              <c:strCache>
                <c:ptCount val="1"/>
                <c:pt idx="0">
                  <c:v>No iniciado</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AuxPlan!$B$104:$B$109</c:f>
              <c:strCache>
                <c:ptCount val="6"/>
                <c:pt idx="0">
                  <c:v>Desarrollar y fidelizar al talento humano de la empresa.</c:v>
                </c:pt>
                <c:pt idx="1">
                  <c:v>Incrementar las ventas a través de plataformas digitales.</c:v>
                </c:pt>
                <c:pt idx="2">
                  <c:v>Asegurar la calidad e inocuidad de los productos en todos los procesos de la planta.</c:v>
                </c:pt>
                <c:pt idx="3">
                  <c:v>Fortalecer el posicionamiento de la marca Caracolitos a nivel nacional.</c:v>
                </c:pt>
                <c:pt idx="4">
                  <c:v>Mejorar la productividad de los procesos operativos en planta.</c:v>
                </c:pt>
                <c:pt idx="5">
                  <c:v>Expandir la presencia nacional de Caracolitos mediante la apertura de nuevas sucursales.</c:v>
                </c:pt>
              </c:strCache>
            </c:strRef>
          </c:cat>
          <c:val>
            <c:numRef>
              <c:f>AuxPlan!$C$104:$C$109</c:f>
              <c:numCache>
                <c:formatCode>General</c:formatCode>
                <c:ptCount val="6"/>
                <c:pt idx="0">
                  <c:v>0</c:v>
                </c:pt>
                <c:pt idx="1">
                  <c:v>0</c:v>
                </c:pt>
                <c:pt idx="2">
                  <c:v>0</c:v>
                </c:pt>
                <c:pt idx="3">
                  <c:v>1</c:v>
                </c:pt>
                <c:pt idx="4">
                  <c:v>1</c:v>
                </c:pt>
                <c:pt idx="5">
                  <c:v>0</c:v>
                </c:pt>
              </c:numCache>
            </c:numRef>
          </c:val>
          <c:extLst>
            <c:ext xmlns:c16="http://schemas.microsoft.com/office/drawing/2014/chart" uri="{C3380CC4-5D6E-409C-BE32-E72D297353CC}">
              <c16:uniqueId val="{00000000-A867-4F7A-A0EC-A5F7078657C3}"/>
            </c:ext>
          </c:extLst>
        </c:ser>
        <c:ser>
          <c:idx val="1"/>
          <c:order val="1"/>
          <c:tx>
            <c:strRef>
              <c:f>AuxPlan!$D$103</c:f>
              <c:strCache>
                <c:ptCount val="1"/>
                <c:pt idx="0">
                  <c:v>En progreso</c:v>
                </c:pt>
              </c:strCache>
            </c:strRef>
          </c:tx>
          <c:spPr>
            <a:solidFill>
              <a:srgbClr val="F2C80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AuxPlan!$B$104:$B$109</c:f>
              <c:strCache>
                <c:ptCount val="6"/>
                <c:pt idx="0">
                  <c:v>Desarrollar y fidelizar al talento humano de la empresa.</c:v>
                </c:pt>
                <c:pt idx="1">
                  <c:v>Incrementar las ventas a través de plataformas digitales.</c:v>
                </c:pt>
                <c:pt idx="2">
                  <c:v>Asegurar la calidad e inocuidad de los productos en todos los procesos de la planta.</c:v>
                </c:pt>
                <c:pt idx="3">
                  <c:v>Fortalecer el posicionamiento de la marca Caracolitos a nivel nacional.</c:v>
                </c:pt>
                <c:pt idx="4">
                  <c:v>Mejorar la productividad de los procesos operativos en planta.</c:v>
                </c:pt>
                <c:pt idx="5">
                  <c:v>Expandir la presencia nacional de Caracolitos mediante la apertura de nuevas sucursales.</c:v>
                </c:pt>
              </c:strCache>
            </c:strRef>
          </c:cat>
          <c:val>
            <c:numRef>
              <c:f>AuxPlan!$D$104:$D$109</c:f>
              <c:numCache>
                <c:formatCode>General</c:formatCode>
                <c:ptCount val="6"/>
                <c:pt idx="0">
                  <c:v>0</c:v>
                </c:pt>
                <c:pt idx="1">
                  <c:v>0</c:v>
                </c:pt>
                <c:pt idx="2">
                  <c:v>0</c:v>
                </c:pt>
                <c:pt idx="3">
                  <c:v>1</c:v>
                </c:pt>
                <c:pt idx="4">
                  <c:v>0</c:v>
                </c:pt>
                <c:pt idx="5">
                  <c:v>1</c:v>
                </c:pt>
              </c:numCache>
            </c:numRef>
          </c:val>
          <c:extLst>
            <c:ext xmlns:c16="http://schemas.microsoft.com/office/drawing/2014/chart" uri="{C3380CC4-5D6E-409C-BE32-E72D297353CC}">
              <c16:uniqueId val="{00000001-A867-4F7A-A0EC-A5F7078657C3}"/>
            </c:ext>
          </c:extLst>
        </c:ser>
        <c:ser>
          <c:idx val="2"/>
          <c:order val="2"/>
          <c:tx>
            <c:strRef>
              <c:f>AuxPlan!$E$103</c:f>
              <c:strCache>
                <c:ptCount val="1"/>
                <c:pt idx="0">
                  <c:v>Concluido</c:v>
                </c:pt>
              </c:strCache>
            </c:strRef>
          </c:tx>
          <c:spPr>
            <a:solidFill>
              <a:srgbClr val="55B0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AuxPlan!$B$104:$B$109</c:f>
              <c:strCache>
                <c:ptCount val="6"/>
                <c:pt idx="0">
                  <c:v>Desarrollar y fidelizar al talento humano de la empresa.</c:v>
                </c:pt>
                <c:pt idx="1">
                  <c:v>Incrementar las ventas a través de plataformas digitales.</c:v>
                </c:pt>
                <c:pt idx="2">
                  <c:v>Asegurar la calidad e inocuidad de los productos en todos los procesos de la planta.</c:v>
                </c:pt>
                <c:pt idx="3">
                  <c:v>Fortalecer el posicionamiento de la marca Caracolitos a nivel nacional.</c:v>
                </c:pt>
                <c:pt idx="4">
                  <c:v>Mejorar la productividad de los procesos operativos en planta.</c:v>
                </c:pt>
                <c:pt idx="5">
                  <c:v>Expandir la presencia nacional de Caracolitos mediante la apertura de nuevas sucursales.</c:v>
                </c:pt>
              </c:strCache>
            </c:strRef>
          </c:cat>
          <c:val>
            <c:numRef>
              <c:f>AuxPlan!$E$104:$E$109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A867-4F7A-A0EC-A5F7078657C3}"/>
            </c:ext>
          </c:extLst>
        </c:ser>
        <c:dLbls>
          <c:showLegendKey val="0"/>
          <c:showVal val="0"/>
          <c:showCatName val="0"/>
          <c:showSerName val="0"/>
          <c:showPercent val="0"/>
          <c:showBubbleSize val="0"/>
        </c:dLbls>
        <c:gapWidth val="85"/>
        <c:overlap val="100"/>
        <c:axId val="456058144"/>
        <c:axId val="456059128"/>
      </c:barChart>
      <c:catAx>
        <c:axId val="456058144"/>
        <c:scaling>
          <c:orientation val="minMax"/>
        </c:scaling>
        <c:delete val="0"/>
        <c:axPos val="l"/>
        <c:majorGridlines>
          <c:spPr>
            <a:ln w="9525" cap="flat" cmpd="sng" algn="ctr">
              <a:solidFill>
                <a:schemeClr val="bg1">
                  <a:lumMod val="9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PE"/>
          </a:p>
        </c:txPr>
        <c:crossAx val="456059128"/>
        <c:crosses val="autoZero"/>
        <c:auto val="1"/>
        <c:lblAlgn val="ctr"/>
        <c:lblOffset val="100"/>
        <c:noMultiLvlLbl val="0"/>
      </c:catAx>
      <c:valAx>
        <c:axId val="456059128"/>
        <c:scaling>
          <c:orientation val="minMax"/>
        </c:scaling>
        <c:delete val="0"/>
        <c:axPos val="b"/>
        <c:majorGridlines>
          <c:spPr>
            <a:ln w="9525" cap="flat" cmpd="sng" algn="ctr">
              <a:solidFill>
                <a:schemeClr val="bg1">
                  <a:lumMod val="9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56058144"/>
        <c:crosses val="autoZero"/>
        <c:crossBetween val="between"/>
      </c:valAx>
      <c:spPr>
        <a:noFill/>
        <a:ln>
          <a:noFill/>
        </a:ln>
        <a:effectLst/>
      </c:spPr>
    </c:plotArea>
    <c:legend>
      <c:legendPos val="t"/>
      <c:layout>
        <c:manualLayout>
          <c:xMode val="edge"/>
          <c:yMode val="edge"/>
          <c:x val="0.26327356946235381"/>
          <c:y val="0.11762513312034079"/>
          <c:w val="0.47345263244533464"/>
          <c:h val="8.342557419939121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SGoal!A1"/><Relationship Id="rId7" Type="http://schemas.openxmlformats.org/officeDocument/2006/relationships/image" Target="../media/image3.png"/><Relationship Id="rId2" Type="http://schemas.openxmlformats.org/officeDocument/2006/relationships/hyperlink" Target="#Statement!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Teams!A1"/><Relationship Id="rId5" Type="http://schemas.openxmlformats.org/officeDocument/2006/relationships/image" Target="../media/image1.png"/><Relationship Id="rId10" Type="http://schemas.openxmlformats.org/officeDocument/2006/relationships/hyperlink" Target="#SA!A1"/><Relationship Id="rId4" Type="http://schemas.openxmlformats.org/officeDocument/2006/relationships/hyperlink" Target="#SDashboard!A1"/><Relationship Id="rId9"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O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O5'!A1"/><Relationship Id="rId2" Type="http://schemas.openxmlformats.org/officeDocument/2006/relationships/hyperlink" Target="#Statement!A1"/><Relationship Id="rId16" Type="http://schemas.openxmlformats.org/officeDocument/2006/relationships/hyperlink" Target="#'O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O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O2'!A1"/></Relationships>
</file>

<file path=xl/drawings/_rels/drawing11.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O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O5'!A1"/><Relationship Id="rId2" Type="http://schemas.openxmlformats.org/officeDocument/2006/relationships/hyperlink" Target="#Statement!A1"/><Relationship Id="rId16" Type="http://schemas.openxmlformats.org/officeDocument/2006/relationships/hyperlink" Target="#'O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O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O2'!A1"/></Relationships>
</file>

<file path=xl/drawings/_rels/drawing12.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O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O5'!A1"/><Relationship Id="rId2" Type="http://schemas.openxmlformats.org/officeDocument/2006/relationships/hyperlink" Target="#Statement!A1"/><Relationship Id="rId16" Type="http://schemas.openxmlformats.org/officeDocument/2006/relationships/hyperlink" Target="#'O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O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O2'!A1"/></Relationships>
</file>

<file path=xl/drawings/_rels/drawing13.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KPI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KPI5'!A1"/><Relationship Id="rId2" Type="http://schemas.openxmlformats.org/officeDocument/2006/relationships/hyperlink" Target="#Statement!A1"/><Relationship Id="rId16" Type="http://schemas.openxmlformats.org/officeDocument/2006/relationships/hyperlink" Target="#'KPI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KPI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KPI2'!A1"/></Relationships>
</file>

<file path=xl/drawings/_rels/drawing14.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KPI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KPI5'!A1"/><Relationship Id="rId2" Type="http://schemas.openxmlformats.org/officeDocument/2006/relationships/hyperlink" Target="#Statement!A1"/><Relationship Id="rId16" Type="http://schemas.openxmlformats.org/officeDocument/2006/relationships/hyperlink" Target="#'KPI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KPI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KPI2'!A1"/></Relationships>
</file>

<file path=xl/drawings/_rels/drawing15.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KPI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KPI5'!A1"/><Relationship Id="rId2" Type="http://schemas.openxmlformats.org/officeDocument/2006/relationships/hyperlink" Target="#Statement!A1"/><Relationship Id="rId16" Type="http://schemas.openxmlformats.org/officeDocument/2006/relationships/hyperlink" Target="#'KPI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KPI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KPI2'!A1"/></Relationships>
</file>

<file path=xl/drawings/_rels/drawing16.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KPI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KPI5'!A1"/><Relationship Id="rId2" Type="http://schemas.openxmlformats.org/officeDocument/2006/relationships/hyperlink" Target="#Statement!A1"/><Relationship Id="rId16" Type="http://schemas.openxmlformats.org/officeDocument/2006/relationships/hyperlink" Target="#'KPI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KPI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KPI2'!A1"/></Relationships>
</file>

<file path=xl/drawings/_rels/drawing17.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KPI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KPI5'!A1"/><Relationship Id="rId2" Type="http://schemas.openxmlformats.org/officeDocument/2006/relationships/hyperlink" Target="#Statement!A1"/><Relationship Id="rId16" Type="http://schemas.openxmlformats.org/officeDocument/2006/relationships/hyperlink" Target="#'KPI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KPI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KPI2'!A1"/></Relationships>
</file>

<file path=xl/drawings/_rels/drawing18.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KPI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KPI5'!A1"/><Relationship Id="rId2" Type="http://schemas.openxmlformats.org/officeDocument/2006/relationships/hyperlink" Target="#Statement!A1"/><Relationship Id="rId16" Type="http://schemas.openxmlformats.org/officeDocument/2006/relationships/hyperlink" Target="#'KPI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KPI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KPI2'!A1"/></Relationships>
</file>

<file path=xl/drawings/_rels/drawing19.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AP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AP5'!A1"/><Relationship Id="rId2" Type="http://schemas.openxmlformats.org/officeDocument/2006/relationships/hyperlink" Target="#Statement!A1"/><Relationship Id="rId16" Type="http://schemas.openxmlformats.org/officeDocument/2006/relationships/hyperlink" Target="#'AP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AP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AP2'!A1"/></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SGoal!A1"/><Relationship Id="rId7" Type="http://schemas.openxmlformats.org/officeDocument/2006/relationships/image" Target="../media/image3.png"/><Relationship Id="rId2" Type="http://schemas.openxmlformats.org/officeDocument/2006/relationships/hyperlink" Target="#Statement!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Teams!A1"/><Relationship Id="rId5" Type="http://schemas.openxmlformats.org/officeDocument/2006/relationships/image" Target="../media/image1.png"/><Relationship Id="rId10" Type="http://schemas.openxmlformats.org/officeDocument/2006/relationships/hyperlink" Target="#SA!A1"/><Relationship Id="rId4" Type="http://schemas.openxmlformats.org/officeDocument/2006/relationships/hyperlink" Target="#SDashboard!A1"/><Relationship Id="rId9"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AP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AP5'!A1"/><Relationship Id="rId2" Type="http://schemas.openxmlformats.org/officeDocument/2006/relationships/hyperlink" Target="#Statement!A1"/><Relationship Id="rId16" Type="http://schemas.openxmlformats.org/officeDocument/2006/relationships/hyperlink" Target="#'AP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AP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AP2'!A1"/></Relationships>
</file>

<file path=xl/drawings/_rels/drawing21.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AP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AP5'!A1"/><Relationship Id="rId2" Type="http://schemas.openxmlformats.org/officeDocument/2006/relationships/hyperlink" Target="#Statement!A1"/><Relationship Id="rId16" Type="http://schemas.openxmlformats.org/officeDocument/2006/relationships/hyperlink" Target="#'AP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AP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AP2'!A1"/></Relationships>
</file>

<file path=xl/drawings/_rels/drawing22.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AP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AP5'!A1"/><Relationship Id="rId2" Type="http://schemas.openxmlformats.org/officeDocument/2006/relationships/hyperlink" Target="#Statement!A1"/><Relationship Id="rId16" Type="http://schemas.openxmlformats.org/officeDocument/2006/relationships/hyperlink" Target="#'AP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AP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AP2'!A1"/></Relationships>
</file>

<file path=xl/drawings/_rels/drawing23.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AP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AP5'!A1"/><Relationship Id="rId2" Type="http://schemas.openxmlformats.org/officeDocument/2006/relationships/hyperlink" Target="#Statement!A1"/><Relationship Id="rId16" Type="http://schemas.openxmlformats.org/officeDocument/2006/relationships/hyperlink" Target="#'AP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AP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AP2'!A1"/></Relationships>
</file>

<file path=xl/drawings/_rels/drawing24.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AP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AP5'!A1"/><Relationship Id="rId2" Type="http://schemas.openxmlformats.org/officeDocument/2006/relationships/hyperlink" Target="#Statement!A1"/><Relationship Id="rId16" Type="http://schemas.openxmlformats.org/officeDocument/2006/relationships/hyperlink" Target="#'AP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AP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AP2'!A1"/></Relationships>
</file>

<file path=xl/drawings/_rels/drawing25.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hyperlink" Target="#Settings!A1"/><Relationship Id="rId18" Type="http://schemas.openxmlformats.org/officeDocument/2006/relationships/image" Target="../media/image2.png"/><Relationship Id="rId3" Type="http://schemas.openxmlformats.org/officeDocument/2006/relationships/image" Target="../media/image8.emf"/><Relationship Id="rId21" Type="http://schemas.openxmlformats.org/officeDocument/2006/relationships/image" Target="../media/image4.png"/><Relationship Id="rId7" Type="http://schemas.openxmlformats.org/officeDocument/2006/relationships/image" Target="../media/image12.emf"/><Relationship Id="rId12" Type="http://schemas.openxmlformats.org/officeDocument/2006/relationships/image" Target="../media/image17.emf"/><Relationship Id="rId17" Type="http://schemas.openxmlformats.org/officeDocument/2006/relationships/image" Target="../media/image1.png"/><Relationship Id="rId2" Type="http://schemas.openxmlformats.org/officeDocument/2006/relationships/image" Target="../media/image7.emf"/><Relationship Id="rId16" Type="http://schemas.openxmlformats.org/officeDocument/2006/relationships/hyperlink" Target="#SDashboard!A1"/><Relationship Id="rId20" Type="http://schemas.microsoft.com/office/2007/relationships/hdphoto" Target="../media/hdphoto1.wdp"/><Relationship Id="rId1" Type="http://schemas.openxmlformats.org/officeDocument/2006/relationships/image" Target="../media/image6.emf"/><Relationship Id="rId6" Type="http://schemas.openxmlformats.org/officeDocument/2006/relationships/image" Target="../media/image11.emf"/><Relationship Id="rId11" Type="http://schemas.openxmlformats.org/officeDocument/2006/relationships/image" Target="../media/image16.emf"/><Relationship Id="rId5" Type="http://schemas.openxmlformats.org/officeDocument/2006/relationships/image" Target="../media/image10.emf"/><Relationship Id="rId15" Type="http://schemas.openxmlformats.org/officeDocument/2006/relationships/hyperlink" Target="#SGoal!A1"/><Relationship Id="rId10" Type="http://schemas.openxmlformats.org/officeDocument/2006/relationships/image" Target="../media/image15.emf"/><Relationship Id="rId19" Type="http://schemas.openxmlformats.org/officeDocument/2006/relationships/image" Target="../media/image3.png"/><Relationship Id="rId4" Type="http://schemas.openxmlformats.org/officeDocument/2006/relationships/image" Target="../media/image9.emf"/><Relationship Id="rId9" Type="http://schemas.openxmlformats.org/officeDocument/2006/relationships/image" Target="../media/image14.emf"/><Relationship Id="rId14" Type="http://schemas.openxmlformats.org/officeDocument/2006/relationships/hyperlink" Target="#Statement!A1"/><Relationship Id="rId22" Type="http://schemas.openxmlformats.org/officeDocument/2006/relationships/hyperlink" Target="#AGoal!A1"/></Relationships>
</file>

<file path=xl/drawings/_rels/drawing26.xml.rels><?xml version="1.0" encoding="UTF-8" standalone="yes"?>
<Relationships xmlns="http://schemas.openxmlformats.org/package/2006/relationships"><Relationship Id="rId8" Type="http://schemas.openxmlformats.org/officeDocument/2006/relationships/hyperlink" Target="#Statement!A1"/><Relationship Id="rId13" Type="http://schemas.openxmlformats.org/officeDocument/2006/relationships/image" Target="../media/image3.png"/><Relationship Id="rId3" Type="http://schemas.openxmlformats.org/officeDocument/2006/relationships/image" Target="../media/image32.emf"/><Relationship Id="rId7" Type="http://schemas.openxmlformats.org/officeDocument/2006/relationships/hyperlink" Target="#Settings!A1"/><Relationship Id="rId12" Type="http://schemas.openxmlformats.org/officeDocument/2006/relationships/image" Target="../media/image2.png"/><Relationship Id="rId2" Type="http://schemas.openxmlformats.org/officeDocument/2006/relationships/image" Target="../media/image31.emf"/><Relationship Id="rId16" Type="http://schemas.openxmlformats.org/officeDocument/2006/relationships/hyperlink" Target="#AGoal!A1"/><Relationship Id="rId1" Type="http://schemas.openxmlformats.org/officeDocument/2006/relationships/image" Target="../media/image30.emf"/><Relationship Id="rId6" Type="http://schemas.openxmlformats.org/officeDocument/2006/relationships/image" Target="../media/image35.emf"/><Relationship Id="rId11" Type="http://schemas.openxmlformats.org/officeDocument/2006/relationships/image" Target="../media/image1.png"/><Relationship Id="rId5" Type="http://schemas.openxmlformats.org/officeDocument/2006/relationships/image" Target="../media/image34.emf"/><Relationship Id="rId15" Type="http://schemas.openxmlformats.org/officeDocument/2006/relationships/image" Target="../media/image4.png"/><Relationship Id="rId10" Type="http://schemas.openxmlformats.org/officeDocument/2006/relationships/hyperlink" Target="#SDashboard!A1"/><Relationship Id="rId4" Type="http://schemas.openxmlformats.org/officeDocument/2006/relationships/image" Target="../media/image33.emf"/><Relationship Id="rId9" Type="http://schemas.openxmlformats.org/officeDocument/2006/relationships/hyperlink" Target="#SGoal!A1"/><Relationship Id="rId14" Type="http://schemas.microsoft.com/office/2007/relationships/hdphoto" Target="../media/hdphoto1.wdp"/></Relationships>
</file>

<file path=xl/drawings/_rels/drawing27.xml.rels><?xml version="1.0" encoding="UTF-8" standalone="yes"?>
<Relationships xmlns="http://schemas.openxmlformats.org/package/2006/relationships"><Relationship Id="rId8" Type="http://schemas.openxmlformats.org/officeDocument/2006/relationships/hyperlink" Target="#SDashboard!A1"/><Relationship Id="rId13" Type="http://schemas.openxmlformats.org/officeDocument/2006/relationships/image" Target="../media/image4.png"/><Relationship Id="rId3" Type="http://schemas.openxmlformats.org/officeDocument/2006/relationships/chart" Target="../charts/chart3.xml"/><Relationship Id="rId7" Type="http://schemas.openxmlformats.org/officeDocument/2006/relationships/hyperlink" Target="#SGoal!A1"/><Relationship Id="rId12"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Statement!A1"/><Relationship Id="rId11" Type="http://schemas.openxmlformats.org/officeDocument/2006/relationships/image" Target="../media/image3.png"/><Relationship Id="rId5" Type="http://schemas.openxmlformats.org/officeDocument/2006/relationships/hyperlink" Target="#Settings!A1"/><Relationship Id="rId15" Type="http://schemas.openxmlformats.org/officeDocument/2006/relationships/hyperlink" Target="#SP!A1"/><Relationship Id="rId10" Type="http://schemas.openxmlformats.org/officeDocument/2006/relationships/image" Target="../media/image2.png"/><Relationship Id="rId4" Type="http://schemas.openxmlformats.org/officeDocument/2006/relationships/chart" Target="../charts/chart4.xml"/><Relationship Id="rId9" Type="http://schemas.openxmlformats.org/officeDocument/2006/relationships/image" Target="../media/image1.png"/><Relationship Id="rId14" Type="http://schemas.openxmlformats.org/officeDocument/2006/relationships/hyperlink" Target="#APDashboard!A1"/></Relationships>
</file>

<file path=xl/drawings/_rels/drawing28.xml.rels><?xml version="1.0" encoding="UTF-8" standalone="yes"?>
<Relationships xmlns="http://schemas.openxmlformats.org/package/2006/relationships"><Relationship Id="rId8" Type="http://schemas.openxmlformats.org/officeDocument/2006/relationships/hyperlink" Target="#Statement!A1"/><Relationship Id="rId13" Type="http://schemas.openxmlformats.org/officeDocument/2006/relationships/image" Target="../media/image3.png"/><Relationship Id="rId3" Type="http://schemas.openxmlformats.org/officeDocument/2006/relationships/chart" Target="../charts/chart6.xml"/><Relationship Id="rId7" Type="http://schemas.openxmlformats.org/officeDocument/2006/relationships/hyperlink" Target="#Settings!A1"/><Relationship Id="rId12" Type="http://schemas.openxmlformats.org/officeDocument/2006/relationships/image" Target="../media/image2.png"/><Relationship Id="rId17" Type="http://schemas.openxmlformats.org/officeDocument/2006/relationships/hyperlink" Target="#SP!A1"/><Relationship Id="rId2" Type="http://schemas.openxmlformats.org/officeDocument/2006/relationships/image" Target="../media/image42.emf"/><Relationship Id="rId16" Type="http://schemas.openxmlformats.org/officeDocument/2006/relationships/hyperlink" Target="#APDashboard!A1"/><Relationship Id="rId1" Type="http://schemas.openxmlformats.org/officeDocument/2006/relationships/chart" Target="../charts/chart5.xml"/><Relationship Id="rId6" Type="http://schemas.openxmlformats.org/officeDocument/2006/relationships/chart" Target="../charts/chart9.xml"/><Relationship Id="rId11" Type="http://schemas.openxmlformats.org/officeDocument/2006/relationships/image" Target="../media/image1.png"/><Relationship Id="rId5" Type="http://schemas.openxmlformats.org/officeDocument/2006/relationships/chart" Target="../charts/chart8.xml"/><Relationship Id="rId15" Type="http://schemas.openxmlformats.org/officeDocument/2006/relationships/image" Target="../media/image4.png"/><Relationship Id="rId10" Type="http://schemas.openxmlformats.org/officeDocument/2006/relationships/hyperlink" Target="#SDashboard!A1"/><Relationship Id="rId4" Type="http://schemas.openxmlformats.org/officeDocument/2006/relationships/chart" Target="../charts/chart7.xml"/><Relationship Id="rId9" Type="http://schemas.openxmlformats.org/officeDocument/2006/relationships/hyperlink" Target="#SGoal!A1"/><Relationship Id="rId14" Type="http://schemas.microsoft.com/office/2007/relationships/hdphoto" Target="../media/hdphoto1.wdp"/></Relationships>
</file>

<file path=xl/drawings/_rels/drawing29.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SP!A1"/><Relationship Id="rId2" Type="http://schemas.openxmlformats.org/officeDocument/2006/relationships/hyperlink" Target="#Statement!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APDashboard!A1"/><Relationship Id="rId5" Type="http://schemas.openxmlformats.org/officeDocument/2006/relationships/image" Target="../media/image1.png"/><Relationship Id="rId10" Type="http://schemas.openxmlformats.org/officeDocument/2006/relationships/image" Target="../media/image44.jpg"/><Relationship Id="rId4" Type="http://schemas.openxmlformats.org/officeDocument/2006/relationships/hyperlink" Target="#SDashboard!A1"/><Relationship Id="rId9"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SGoal!A1"/><Relationship Id="rId7" Type="http://schemas.openxmlformats.org/officeDocument/2006/relationships/image" Target="../media/image3.png"/><Relationship Id="rId2" Type="http://schemas.openxmlformats.org/officeDocument/2006/relationships/hyperlink" Target="#Statement!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Teams!A1"/><Relationship Id="rId5" Type="http://schemas.openxmlformats.org/officeDocument/2006/relationships/image" Target="../media/image1.png"/><Relationship Id="rId10" Type="http://schemas.openxmlformats.org/officeDocument/2006/relationships/hyperlink" Target="#SA!A1"/><Relationship Id="rId4" Type="http://schemas.openxmlformats.org/officeDocument/2006/relationships/hyperlink" Target="#SDashboard!A1"/><Relationship Id="rId9"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Statement!A1"/><Relationship Id="rId7" Type="http://schemas.openxmlformats.org/officeDocument/2006/relationships/image" Target="../media/image2.png"/><Relationship Id="rId12" Type="http://schemas.openxmlformats.org/officeDocument/2006/relationships/hyperlink" Target="#Teams!A1"/><Relationship Id="rId2" Type="http://schemas.openxmlformats.org/officeDocument/2006/relationships/hyperlink" Target="#Settings!A1"/><Relationship Id="rId1" Type="http://schemas.openxmlformats.org/officeDocument/2006/relationships/hyperlink" Target="#Translations!A1"/><Relationship Id="rId6" Type="http://schemas.openxmlformats.org/officeDocument/2006/relationships/image" Target="../media/image1.png"/><Relationship Id="rId11" Type="http://schemas.openxmlformats.org/officeDocument/2006/relationships/hyperlink" Target="#SA!A1"/><Relationship Id="rId5" Type="http://schemas.openxmlformats.org/officeDocument/2006/relationships/hyperlink" Target="#SDashboard!A1"/><Relationship Id="rId10" Type="http://schemas.openxmlformats.org/officeDocument/2006/relationships/image" Target="../media/image4.png"/><Relationship Id="rId4" Type="http://schemas.openxmlformats.org/officeDocument/2006/relationships/hyperlink" Target="#SGoal!A1"/><Relationship Id="rId9" Type="http://schemas.microsoft.com/office/2007/relationships/hdphoto" Target="../media/hdphoto1.wdp"/></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KPI1'!A1"/><Relationship Id="rId3" Type="http://schemas.openxmlformats.org/officeDocument/2006/relationships/hyperlink" Target="#SGoal!A1"/><Relationship Id="rId7" Type="http://schemas.microsoft.com/office/2007/relationships/hdphoto" Target="../media/hdphoto2.wdp"/><Relationship Id="rId12" Type="http://schemas.openxmlformats.org/officeDocument/2006/relationships/hyperlink" Target="#'O1'!A1"/><Relationship Id="rId2" Type="http://schemas.openxmlformats.org/officeDocument/2006/relationships/hyperlink" Target="#Statement!A1"/><Relationship Id="rId1" Type="http://schemas.openxmlformats.org/officeDocument/2006/relationships/hyperlink" Target="#Settings!A1"/><Relationship Id="rId6" Type="http://schemas.openxmlformats.org/officeDocument/2006/relationships/image" Target="../media/image5.png"/><Relationship Id="rId11" Type="http://schemas.openxmlformats.org/officeDocument/2006/relationships/hyperlink" Target="#Goals!A1"/><Relationship Id="rId5" Type="http://schemas.openxmlformats.org/officeDocument/2006/relationships/image" Target="../media/image1.png"/><Relationship Id="rId10" Type="http://schemas.openxmlformats.org/officeDocument/2006/relationships/image" Target="../media/image4.png"/><Relationship Id="rId4" Type="http://schemas.openxmlformats.org/officeDocument/2006/relationships/hyperlink" Target="#SDashboard!A1"/><Relationship Id="rId9" Type="http://schemas.microsoft.com/office/2007/relationships/hdphoto" Target="../media/hdphoto1.wdp"/><Relationship Id="rId14" Type="http://schemas.openxmlformats.org/officeDocument/2006/relationships/hyperlink" Target="#'AP1'!A1"/></Relationships>
</file>

<file path=xl/drawings/_rels/drawing6.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2" Type="http://schemas.openxmlformats.org/officeDocument/2006/relationships/hyperlink" Target="#Statement!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O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O5'!A1"/><Relationship Id="rId2" Type="http://schemas.openxmlformats.org/officeDocument/2006/relationships/hyperlink" Target="#Statement!A1"/><Relationship Id="rId16" Type="http://schemas.openxmlformats.org/officeDocument/2006/relationships/hyperlink" Target="#'O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O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O2'!A1"/></Relationships>
</file>

<file path=xl/drawings/_rels/drawing8.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O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O5'!A1"/><Relationship Id="rId2" Type="http://schemas.openxmlformats.org/officeDocument/2006/relationships/hyperlink" Target="#Statement!A1"/><Relationship Id="rId16" Type="http://schemas.openxmlformats.org/officeDocument/2006/relationships/hyperlink" Target="#'O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O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O2'!A1"/></Relationships>
</file>

<file path=xl/drawings/_rels/drawing9.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AP1'!A1"/><Relationship Id="rId18" Type="http://schemas.openxmlformats.org/officeDocument/2006/relationships/hyperlink" Target="#'O6'!A1"/><Relationship Id="rId3" Type="http://schemas.openxmlformats.org/officeDocument/2006/relationships/hyperlink" Target="#SGoal!A1"/><Relationship Id="rId7" Type="http://schemas.openxmlformats.org/officeDocument/2006/relationships/image" Target="../media/image3.png"/><Relationship Id="rId12" Type="http://schemas.openxmlformats.org/officeDocument/2006/relationships/hyperlink" Target="#'KPI1'!A1"/><Relationship Id="rId17" Type="http://schemas.openxmlformats.org/officeDocument/2006/relationships/hyperlink" Target="#'O5'!A1"/><Relationship Id="rId2" Type="http://schemas.openxmlformats.org/officeDocument/2006/relationships/hyperlink" Target="#Statement!A1"/><Relationship Id="rId16" Type="http://schemas.openxmlformats.org/officeDocument/2006/relationships/hyperlink" Target="#'O4'!A1"/><Relationship Id="rId1" Type="http://schemas.openxmlformats.org/officeDocument/2006/relationships/hyperlink" Target="#Settings!A1"/><Relationship Id="rId6" Type="http://schemas.openxmlformats.org/officeDocument/2006/relationships/image" Target="../media/image2.png"/><Relationship Id="rId11" Type="http://schemas.openxmlformats.org/officeDocument/2006/relationships/hyperlink" Target="#'O1'!A1"/><Relationship Id="rId5" Type="http://schemas.openxmlformats.org/officeDocument/2006/relationships/image" Target="../media/image1.png"/><Relationship Id="rId15" Type="http://schemas.openxmlformats.org/officeDocument/2006/relationships/hyperlink" Target="#'O3'!A1"/><Relationship Id="rId10" Type="http://schemas.openxmlformats.org/officeDocument/2006/relationships/hyperlink" Target="#Goals!A1"/><Relationship Id="rId4" Type="http://schemas.openxmlformats.org/officeDocument/2006/relationships/hyperlink" Target="#SDashboard!A1"/><Relationship Id="rId9" Type="http://schemas.openxmlformats.org/officeDocument/2006/relationships/image" Target="../media/image4.png"/><Relationship Id="rId14" Type="http://schemas.openxmlformats.org/officeDocument/2006/relationships/hyperlink" Target="#'O2'!A1"/></Relationships>
</file>

<file path=xl/drawings/_rels/vmlDrawing7.v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image" Target="../media/image20.emf"/><Relationship Id="rId7" Type="http://schemas.openxmlformats.org/officeDocument/2006/relationships/image" Target="../media/image24.emf"/><Relationship Id="rId12" Type="http://schemas.openxmlformats.org/officeDocument/2006/relationships/image" Target="../media/image29.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11" Type="http://schemas.openxmlformats.org/officeDocument/2006/relationships/image" Target="../media/image28.emf"/><Relationship Id="rId5" Type="http://schemas.openxmlformats.org/officeDocument/2006/relationships/image" Target="../media/image22.emf"/><Relationship Id="rId10" Type="http://schemas.openxmlformats.org/officeDocument/2006/relationships/image" Target="../media/image27.emf"/><Relationship Id="rId4" Type="http://schemas.openxmlformats.org/officeDocument/2006/relationships/image" Target="../media/image21.emf"/><Relationship Id="rId9" Type="http://schemas.openxmlformats.org/officeDocument/2006/relationships/image" Target="../media/image26.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emf"/><Relationship Id="rId6" Type="http://schemas.openxmlformats.org/officeDocument/2006/relationships/image" Target="../media/image41.emf"/><Relationship Id="rId5" Type="http://schemas.openxmlformats.org/officeDocument/2006/relationships/image" Target="../media/image40.emf"/><Relationship Id="rId4" Type="http://schemas.openxmlformats.org/officeDocument/2006/relationships/image" Target="../media/image3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editAs="absolute">
    <xdr:from>
      <xdr:col>1</xdr:col>
      <xdr:colOff>1547446</xdr:colOff>
      <xdr:row>0</xdr:row>
      <xdr:rowOff>0</xdr:rowOff>
    </xdr:from>
    <xdr:to>
      <xdr:col>2</xdr:col>
      <xdr:colOff>1444870</xdr:colOff>
      <xdr:row>0</xdr:row>
      <xdr:rowOff>493258</xdr:rowOff>
    </xdr:to>
    <xdr:sp macro="" textlink="Lan!F11">
      <xdr:nvSpPr>
        <xdr:cNvPr id="5" name="TextBox 3">
          <a:hlinkClick xmlns:r="http://schemas.openxmlformats.org/officeDocument/2006/relationships" r:id="rId1"/>
          <a:extLst>
            <a:ext uri="{FF2B5EF4-FFF2-40B4-BE49-F238E27FC236}">
              <a16:creationId xmlns:a16="http://schemas.microsoft.com/office/drawing/2014/main" id="{5BC147FC-3820-4AD3-8208-ACF9A5363865}"/>
            </a:ext>
          </a:extLst>
        </xdr:cNvPr>
        <xdr:cNvSpPr txBox="1"/>
      </xdr:nvSpPr>
      <xdr:spPr>
        <a:xfrm>
          <a:off x="1728421"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2</xdr:col>
      <xdr:colOff>1496158</xdr:colOff>
      <xdr:row>0</xdr:row>
      <xdr:rowOff>0</xdr:rowOff>
    </xdr:from>
    <xdr:to>
      <xdr:col>3</xdr:col>
      <xdr:colOff>1774581</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3DFF8239-6FD1-470F-9432-2EE00EA0ECB5}"/>
            </a:ext>
          </a:extLst>
        </xdr:cNvPr>
        <xdr:cNvSpPr txBox="1"/>
      </xdr:nvSpPr>
      <xdr:spPr>
        <a:xfrm>
          <a:off x="3639283" y="0"/>
          <a:ext cx="2240573"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3</xdr:col>
      <xdr:colOff>1820466</xdr:colOff>
      <xdr:row>0</xdr:row>
      <xdr:rowOff>0</xdr:rowOff>
    </xdr:from>
    <xdr:to>
      <xdr:col>4</xdr:col>
      <xdr:colOff>1650023</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686F1950-02B9-4DBF-A605-FECCE96BC71A}"/>
            </a:ext>
          </a:extLst>
        </xdr:cNvPr>
        <xdr:cNvSpPr txBox="1"/>
      </xdr:nvSpPr>
      <xdr:spPr>
        <a:xfrm>
          <a:off x="5925741"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4</xdr:col>
      <xdr:colOff>1693432</xdr:colOff>
      <xdr:row>0</xdr:row>
      <xdr:rowOff>0</xdr:rowOff>
    </xdr:from>
    <xdr:to>
      <xdr:col>5</xdr:col>
      <xdr:colOff>1723289</xdr:colOff>
      <xdr:row>0</xdr:row>
      <xdr:rowOff>493258</xdr:rowOff>
    </xdr:to>
    <xdr:sp macro="" textlink="Lan!F86">
      <xdr:nvSpPr>
        <xdr:cNvPr id="6" name="TextBox 3">
          <a:hlinkClick xmlns:r="http://schemas.openxmlformats.org/officeDocument/2006/relationships" r:id="rId4"/>
          <a:extLst>
            <a:ext uri="{FF2B5EF4-FFF2-40B4-BE49-F238E27FC236}">
              <a16:creationId xmlns:a16="http://schemas.microsoft.com/office/drawing/2014/main" id="{183F764D-5B73-47BB-9896-CA203BC8E0F2}"/>
            </a:ext>
          </a:extLst>
        </xdr:cNvPr>
        <xdr:cNvSpPr txBox="1"/>
      </xdr:nvSpPr>
      <xdr:spPr>
        <a:xfrm>
          <a:off x="7760857"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1547446</xdr:colOff>
      <xdr:row>0</xdr:row>
      <xdr:rowOff>0</xdr:rowOff>
    </xdr:from>
    <xdr:to>
      <xdr:col>2</xdr:col>
      <xdr:colOff>83527</xdr:colOff>
      <xdr:row>0</xdr:row>
      <xdr:rowOff>481496</xdr:rowOff>
    </xdr:to>
    <xdr:pic>
      <xdr:nvPicPr>
        <xdr:cNvPr id="7" name="Imagen 6"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282FB1D2-A004-4D42-88D1-0ADDD163ED0B}"/>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728421"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1518139</xdr:colOff>
      <xdr:row>0</xdr:row>
      <xdr:rowOff>14654</xdr:rowOff>
    </xdr:from>
    <xdr:to>
      <xdr:col>3</xdr:col>
      <xdr:colOff>24910</xdr:colOff>
      <xdr:row>0</xdr:row>
      <xdr:rowOff>485740</xdr:rowOff>
    </xdr:to>
    <xdr:pic>
      <xdr:nvPicPr>
        <xdr:cNvPr id="8" name="Imagen 7"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F09261C1-998A-4C94-AABE-49476EEF38B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61264"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1840523</xdr:colOff>
      <xdr:row>0</xdr:row>
      <xdr:rowOff>0</xdr:rowOff>
    </xdr:from>
    <xdr:to>
      <xdr:col>4</xdr:col>
      <xdr:colOff>274026</xdr:colOff>
      <xdr:row>0</xdr:row>
      <xdr:rowOff>476812</xdr:rowOff>
    </xdr:to>
    <xdr:pic>
      <xdr:nvPicPr>
        <xdr:cNvPr id="9" name="Imagen 8" descr="report - Image Storage - Reedsburg, Wisconsin">
          <a:hlinkClick xmlns:r="http://schemas.openxmlformats.org/officeDocument/2006/relationships" r:id="rId3"/>
          <a:extLst>
            <a:ext uri="{FF2B5EF4-FFF2-40B4-BE49-F238E27FC236}">
              <a16:creationId xmlns:a16="http://schemas.microsoft.com/office/drawing/2014/main" id="{829DBA9F-6093-4AEF-8FEB-76938B657931}"/>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945798"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1708636</xdr:colOff>
      <xdr:row>0</xdr:row>
      <xdr:rowOff>14654</xdr:rowOff>
    </xdr:from>
    <xdr:to>
      <xdr:col>5</xdr:col>
      <xdr:colOff>325313</xdr:colOff>
      <xdr:row>0</xdr:row>
      <xdr:rowOff>492340</xdr:rowOff>
    </xdr:to>
    <xdr:pic>
      <xdr:nvPicPr>
        <xdr:cNvPr id="10" name="Imagen 9" descr="Dashboards Icon #145224 - Free Icons Library">
          <a:hlinkClick xmlns:r="http://schemas.openxmlformats.org/officeDocument/2006/relationships" r:id="rId4"/>
          <a:extLst>
            <a:ext uri="{FF2B5EF4-FFF2-40B4-BE49-F238E27FC236}">
              <a16:creationId xmlns:a16="http://schemas.microsoft.com/office/drawing/2014/main" id="{F71E5158-6B32-4365-891B-BD30D5C2F983}"/>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776061"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560294</xdr:colOff>
      <xdr:row>1</xdr:row>
      <xdr:rowOff>11205</xdr:rowOff>
    </xdr:from>
    <xdr:to>
      <xdr:col>2</xdr:col>
      <xdr:colOff>1938618</xdr:colOff>
      <xdr:row>1</xdr:row>
      <xdr:rowOff>313764</xdr:rowOff>
    </xdr:to>
    <xdr:sp macro="" textlink="Lan!F11">
      <xdr:nvSpPr>
        <xdr:cNvPr id="11" name="Rectángulo 10">
          <a:hlinkClick xmlns:r="http://schemas.openxmlformats.org/officeDocument/2006/relationships" r:id="rId1"/>
          <a:extLst>
            <a:ext uri="{FF2B5EF4-FFF2-40B4-BE49-F238E27FC236}">
              <a16:creationId xmlns:a16="http://schemas.microsoft.com/office/drawing/2014/main" id="{09366693-DF1F-40F2-B16E-55BED682C389}"/>
            </a:ext>
          </a:extLst>
        </xdr:cNvPr>
        <xdr:cNvSpPr/>
      </xdr:nvSpPr>
      <xdr:spPr>
        <a:xfrm>
          <a:off x="2700618" y="504264"/>
          <a:ext cx="1378324"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F4A4291-EC07-492D-8416-816EC53E087B}" type="TxLink">
            <a:rPr lang="en-US" sz="1100" b="1" i="0" u="none" strike="noStrike">
              <a:solidFill>
                <a:srgbClr val="0D0D0D"/>
              </a:solidFill>
              <a:latin typeface="CALIBRI"/>
              <a:cs typeface="CALIBRI"/>
            </a:rPr>
            <a:pPr algn="ctr"/>
            <a:t>1. AJUSTES</a:t>
          </a:fld>
          <a:endParaRPr lang="en-US" sz="1400" b="1"/>
        </a:p>
      </xdr:txBody>
    </xdr:sp>
    <xdr:clientData/>
  </xdr:twoCellAnchor>
  <xdr:twoCellAnchor>
    <xdr:from>
      <xdr:col>2</xdr:col>
      <xdr:colOff>1955427</xdr:colOff>
      <xdr:row>1</xdr:row>
      <xdr:rowOff>11206</xdr:rowOff>
    </xdr:from>
    <xdr:to>
      <xdr:col>3</xdr:col>
      <xdr:colOff>1485901</xdr:colOff>
      <xdr:row>2</xdr:row>
      <xdr:rowOff>0</xdr:rowOff>
    </xdr:to>
    <xdr:sp macro="" textlink="Lan!F12">
      <xdr:nvSpPr>
        <xdr:cNvPr id="12" name="Rectángulo 11">
          <a:hlinkClick xmlns:r="http://schemas.openxmlformats.org/officeDocument/2006/relationships" r:id="rId10"/>
          <a:extLst>
            <a:ext uri="{FF2B5EF4-FFF2-40B4-BE49-F238E27FC236}">
              <a16:creationId xmlns:a16="http://schemas.microsoft.com/office/drawing/2014/main" id="{6D45AABF-008C-4AB0-9BCA-F3EE5EF29C80}"/>
            </a:ext>
          </a:extLst>
        </xdr:cNvPr>
        <xdr:cNvSpPr/>
      </xdr:nvSpPr>
      <xdr:spPr>
        <a:xfrm>
          <a:off x="4098552" y="506506"/>
          <a:ext cx="1492624" cy="3031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5B779C3-D24A-4EDA-992F-42D5E87E954F}" type="TxLink">
            <a:rPr lang="en-US" sz="1100" b="1" i="0" u="none" strike="noStrike">
              <a:solidFill>
                <a:srgbClr val="0D0D0D"/>
              </a:solidFill>
              <a:latin typeface="CALIBRI"/>
              <a:cs typeface="CALIBRI"/>
            </a:rPr>
            <a:pPr algn="ctr"/>
            <a:t>1.1. Áreas estratégicas</a:t>
          </a:fld>
          <a:endParaRPr lang="en-US" sz="1400" b="1"/>
        </a:p>
      </xdr:txBody>
    </xdr:sp>
    <xdr:clientData/>
  </xdr:twoCellAnchor>
  <xdr:twoCellAnchor>
    <xdr:from>
      <xdr:col>3</xdr:col>
      <xdr:colOff>1503829</xdr:colOff>
      <xdr:row>1</xdr:row>
      <xdr:rowOff>11206</xdr:rowOff>
    </xdr:from>
    <xdr:to>
      <xdr:col>4</xdr:col>
      <xdr:colOff>1819275</xdr:colOff>
      <xdr:row>2</xdr:row>
      <xdr:rowOff>0</xdr:rowOff>
    </xdr:to>
    <xdr:sp macro="" textlink="Lan!F21">
      <xdr:nvSpPr>
        <xdr:cNvPr id="13" name="Rectángulo 12">
          <a:hlinkClick xmlns:r="http://schemas.openxmlformats.org/officeDocument/2006/relationships" r:id="rId11"/>
          <a:extLst>
            <a:ext uri="{FF2B5EF4-FFF2-40B4-BE49-F238E27FC236}">
              <a16:creationId xmlns:a16="http://schemas.microsoft.com/office/drawing/2014/main" id="{E358D499-ADD2-47CD-91DA-ED470F11FB32}"/>
            </a:ext>
          </a:extLst>
        </xdr:cNvPr>
        <xdr:cNvSpPr/>
      </xdr:nvSpPr>
      <xdr:spPr>
        <a:xfrm>
          <a:off x="5609104" y="506506"/>
          <a:ext cx="2277596" cy="3031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3CB125C-7A34-4B6E-8B21-4BAC27A0130F}" type="TxLink">
            <a:rPr lang="en-US" sz="1100" b="1" i="0" u="none" strike="noStrike">
              <a:solidFill>
                <a:srgbClr val="0D0D0D"/>
              </a:solidFill>
              <a:latin typeface="CALIBRI"/>
              <a:cs typeface="CALIBRI"/>
            </a:rPr>
            <a:pPr algn="ctr"/>
            <a:t>1.2. Gerentes | Administradores</a:t>
          </a:fld>
          <a:endParaRPr lang="en-US" sz="1400" b="1"/>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1381125</xdr:colOff>
      <xdr:row>0</xdr:row>
      <xdr:rowOff>0</xdr:rowOff>
    </xdr:from>
    <xdr:to>
      <xdr:col>2</xdr:col>
      <xdr:colOff>1059474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095F2FAC-1439-4729-AB34-2E2A128DE2D9}"/>
            </a:ext>
          </a:extLst>
        </xdr:cNvPr>
        <xdr:cNvSpPr txBox="1"/>
      </xdr:nvSpPr>
      <xdr:spPr>
        <a:xfrm>
          <a:off x="15621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2</xdr:col>
      <xdr:colOff>1110762</xdr:colOff>
      <xdr:row>0</xdr:row>
      <xdr:rowOff>0</xdr:rowOff>
    </xdr:from>
    <xdr:to>
      <xdr:col>3</xdr:col>
      <xdr:colOff>1170110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DE23C731-4135-4C81-A96D-33569AF54809}"/>
            </a:ext>
          </a:extLst>
        </xdr:cNvPr>
        <xdr:cNvSpPr txBox="1"/>
      </xdr:nvSpPr>
      <xdr:spPr>
        <a:xfrm>
          <a:off x="347296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3</xdr:col>
      <xdr:colOff>1215995</xdr:colOff>
      <xdr:row>0</xdr:row>
      <xdr:rowOff>0</xdr:rowOff>
    </xdr:from>
    <xdr:to>
      <xdr:col>4</xdr:col>
      <xdr:colOff>826477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073A4158-729E-429F-883C-25478C64D508}"/>
            </a:ext>
          </a:extLst>
        </xdr:cNvPr>
        <xdr:cNvSpPr txBox="1"/>
      </xdr:nvSpPr>
      <xdr:spPr>
        <a:xfrm>
          <a:off x="57594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4</xdr:col>
      <xdr:colOff>869886</xdr:colOff>
      <xdr:row>0</xdr:row>
      <xdr:rowOff>0</xdr:rowOff>
    </xdr:from>
    <xdr:to>
      <xdr:col>5</xdr:col>
      <xdr:colOff>680668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9E5161CF-764D-4F38-B26D-CC5FCA0F92E6}"/>
            </a:ext>
          </a:extLst>
        </xdr:cNvPr>
        <xdr:cNvSpPr txBox="1"/>
      </xdr:nvSpPr>
      <xdr:spPr>
        <a:xfrm>
          <a:off x="75945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1381125</xdr:colOff>
      <xdr:row>0</xdr:row>
      <xdr:rowOff>0</xdr:rowOff>
    </xdr:from>
    <xdr:to>
      <xdr:col>1</xdr:col>
      <xdr:colOff>1879356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3195A74C-79C9-415A-A543-B55EFE25E6E9}"/>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5621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1132743</xdr:colOff>
      <xdr:row>0</xdr:row>
      <xdr:rowOff>14654</xdr:rowOff>
    </xdr:from>
    <xdr:to>
      <xdr:col>2</xdr:col>
      <xdr:colOff>1601664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33142871-9BB6-4FE8-89B7-996EA2FD9EA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49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1236052</xdr:colOff>
      <xdr:row>0</xdr:row>
      <xdr:rowOff>0</xdr:rowOff>
    </xdr:from>
    <xdr:to>
      <xdr:col>3</xdr:col>
      <xdr:colOff>1631705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4B28B1B0-8D47-4FDF-A974-A2E699786B0C}"/>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7794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885090</xdr:colOff>
      <xdr:row>0</xdr:row>
      <xdr:rowOff>14654</xdr:rowOff>
    </xdr:from>
    <xdr:to>
      <xdr:col>4</xdr:col>
      <xdr:colOff>1463917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8B595144-CAB4-4775-AE3F-032B585C5AA4}"/>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6097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xdr:row>
      <xdr:rowOff>9525</xdr:rowOff>
    </xdr:from>
    <xdr:to>
      <xdr:col>2</xdr:col>
      <xdr:colOff>2135842</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287EB612-9C85-4553-9B29-5F735C0E25BC}"/>
            </a:ext>
          </a:extLst>
        </xdr:cNvPr>
        <xdr:cNvSpPr/>
      </xdr:nvSpPr>
      <xdr:spPr>
        <a:xfrm>
          <a:off x="244792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2</xdr:col>
      <xdr:colOff>2144933</xdr:colOff>
      <xdr:row>1</xdr:row>
      <xdr:rowOff>9525</xdr:rowOff>
    </xdr:from>
    <xdr:to>
      <xdr:col>3</xdr:col>
      <xdr:colOff>1288549</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853BBD64-C116-423D-A0A4-5FC6FD339AD4}"/>
            </a:ext>
          </a:extLst>
        </xdr:cNvPr>
        <xdr:cNvSpPr/>
      </xdr:nvSpPr>
      <xdr:spPr>
        <a:xfrm>
          <a:off x="4507133"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3</xdr:col>
      <xdr:colOff>1298075</xdr:colOff>
      <xdr:row>1</xdr:row>
      <xdr:rowOff>9525</xdr:rowOff>
    </xdr:from>
    <xdr:to>
      <xdr:col>4</xdr:col>
      <xdr:colOff>268509</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72CEDD46-B011-4E9F-A4CB-9B9E19C13EC4}"/>
            </a:ext>
          </a:extLst>
        </xdr:cNvPr>
        <xdr:cNvSpPr/>
      </xdr:nvSpPr>
      <xdr:spPr>
        <a:xfrm>
          <a:off x="5841500" y="504825"/>
          <a:ext cx="1151659"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tx1"/>
              </a:solidFill>
              <a:latin typeface="CALIBRI"/>
              <a:cs typeface="CALIBRI"/>
            </a:rPr>
            <a:pPr algn="ctr"/>
            <a:t>2.3. Objetivos</a:t>
          </a:fld>
          <a:endParaRPr lang="en-US" sz="1800" b="1">
            <a:solidFill>
              <a:schemeClr val="tx1"/>
            </a:solidFill>
          </a:endParaRPr>
        </a:p>
      </xdr:txBody>
    </xdr:sp>
    <xdr:clientData/>
  </xdr:twoCellAnchor>
  <xdr:twoCellAnchor>
    <xdr:from>
      <xdr:col>4</xdr:col>
      <xdr:colOff>287992</xdr:colOff>
      <xdr:row>1</xdr:row>
      <xdr:rowOff>9525</xdr:rowOff>
    </xdr:from>
    <xdr:to>
      <xdr:col>4</xdr:col>
      <xdr:colOff>2050117</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7C59B2CE-1E76-462D-86FE-4D2C27DFF363}"/>
            </a:ext>
          </a:extLst>
        </xdr:cNvPr>
        <xdr:cNvSpPr/>
      </xdr:nvSpPr>
      <xdr:spPr>
        <a:xfrm>
          <a:off x="7012642"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4</xdr:col>
      <xdr:colOff>2069167</xdr:colOff>
      <xdr:row>1</xdr:row>
      <xdr:rowOff>9525</xdr:rowOff>
    </xdr:from>
    <xdr:to>
      <xdr:col>5</xdr:col>
      <xdr:colOff>1345267</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0E0602E9-CB6E-498D-BD6C-D2E4B59C8847}"/>
            </a:ext>
          </a:extLst>
        </xdr:cNvPr>
        <xdr:cNvSpPr/>
      </xdr:nvSpPr>
      <xdr:spPr>
        <a:xfrm>
          <a:off x="8793817"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3</xdr:col>
      <xdr:colOff>1276350</xdr:colOff>
      <xdr:row>2</xdr:row>
      <xdr:rowOff>66675</xdr:rowOff>
    </xdr:from>
    <xdr:to>
      <xdr:col>4</xdr:col>
      <xdr:colOff>552450</xdr:colOff>
      <xdr:row>3</xdr:row>
      <xdr:rowOff>58516</xdr:rowOff>
    </xdr:to>
    <xdr:sp macro="" textlink="'O1'!B10">
      <xdr:nvSpPr>
        <xdr:cNvPr id="15" name="Rectángulo 14">
          <a:hlinkClick xmlns:r="http://schemas.openxmlformats.org/officeDocument/2006/relationships" r:id="rId11"/>
          <a:extLst>
            <a:ext uri="{FF2B5EF4-FFF2-40B4-BE49-F238E27FC236}">
              <a16:creationId xmlns:a16="http://schemas.microsoft.com/office/drawing/2014/main" id="{AE3FD972-4A0C-4929-86F0-81CD743D6C4D}"/>
            </a:ext>
          </a:extLst>
        </xdr:cNvPr>
        <xdr:cNvSpPr/>
      </xdr:nvSpPr>
      <xdr:spPr>
        <a:xfrm>
          <a:off x="5819775"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444BDD43-66CA-4FDD-B623-F44F35B48112}" type="TxLink">
            <a:rPr lang="en-US" sz="1200" b="1" i="0" u="none" strike="noStrike">
              <a:solidFill>
                <a:schemeClr val="bg1"/>
              </a:solidFill>
              <a:latin typeface="Calibri"/>
              <a:cs typeface="Calibri"/>
            </a:rPr>
            <a:pPr algn="ctr"/>
            <a:t>Meta 1</a:t>
          </a:fld>
          <a:endParaRPr lang="en-US">
            <a:solidFill>
              <a:schemeClr val="bg1"/>
            </a:solidFill>
          </a:endParaRPr>
        </a:p>
      </xdr:txBody>
    </xdr:sp>
    <xdr:clientData/>
  </xdr:twoCellAnchor>
  <xdr:twoCellAnchor>
    <xdr:from>
      <xdr:col>4</xdr:col>
      <xdr:colOff>600075</xdr:colOff>
      <xdr:row>2</xdr:row>
      <xdr:rowOff>66675</xdr:rowOff>
    </xdr:from>
    <xdr:to>
      <xdr:col>4</xdr:col>
      <xdr:colOff>2057400</xdr:colOff>
      <xdr:row>3</xdr:row>
      <xdr:rowOff>58516</xdr:rowOff>
    </xdr:to>
    <xdr:sp macro="" textlink="'O1'!C10">
      <xdr:nvSpPr>
        <xdr:cNvPr id="16" name="Rectángulo 15">
          <a:hlinkClick xmlns:r="http://schemas.openxmlformats.org/officeDocument/2006/relationships" r:id="rId14"/>
          <a:extLst>
            <a:ext uri="{FF2B5EF4-FFF2-40B4-BE49-F238E27FC236}">
              <a16:creationId xmlns:a16="http://schemas.microsoft.com/office/drawing/2014/main" id="{FD3E3A8B-6CE0-4CEF-84BF-475358BA9589}"/>
            </a:ext>
          </a:extLst>
        </xdr:cNvPr>
        <xdr:cNvSpPr/>
      </xdr:nvSpPr>
      <xdr:spPr>
        <a:xfrm>
          <a:off x="7324725"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3CA94B9-5EDC-464C-A2C5-0F7274AD8131}" type="TxLink">
            <a:rPr lang="en-US" sz="1200" b="1" i="0" u="none" strike="noStrike">
              <a:solidFill>
                <a:schemeClr val="bg1"/>
              </a:solidFill>
              <a:latin typeface="Calibri"/>
              <a:cs typeface="Calibri"/>
            </a:rPr>
            <a:pPr algn="ctr"/>
            <a:t>Meta 2</a:t>
          </a:fld>
          <a:endParaRPr lang="en-US">
            <a:solidFill>
              <a:schemeClr val="bg1"/>
            </a:solidFill>
          </a:endParaRPr>
        </a:p>
      </xdr:txBody>
    </xdr:sp>
    <xdr:clientData/>
  </xdr:twoCellAnchor>
  <xdr:twoCellAnchor>
    <xdr:from>
      <xdr:col>4</xdr:col>
      <xdr:colOff>2105025</xdr:colOff>
      <xdr:row>2</xdr:row>
      <xdr:rowOff>66675</xdr:rowOff>
    </xdr:from>
    <xdr:to>
      <xdr:col>6</xdr:col>
      <xdr:colOff>0</xdr:colOff>
      <xdr:row>3</xdr:row>
      <xdr:rowOff>58516</xdr:rowOff>
    </xdr:to>
    <xdr:sp macro="" textlink="'O1'!D10">
      <xdr:nvSpPr>
        <xdr:cNvPr id="17" name="Rectángulo 16">
          <a:hlinkClick xmlns:r="http://schemas.openxmlformats.org/officeDocument/2006/relationships" r:id="rId15"/>
          <a:extLst>
            <a:ext uri="{FF2B5EF4-FFF2-40B4-BE49-F238E27FC236}">
              <a16:creationId xmlns:a16="http://schemas.microsoft.com/office/drawing/2014/main" id="{910FFD73-85FE-4348-BDCB-1B9F3467C5A6}"/>
            </a:ext>
          </a:extLst>
        </xdr:cNvPr>
        <xdr:cNvSpPr/>
      </xdr:nvSpPr>
      <xdr:spPr>
        <a:xfrm>
          <a:off x="8829675"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50D9D654-0AC0-4B94-8C50-A2788FBBCB8F}" type="TxLink">
            <a:rPr lang="en-US" sz="1200" b="1" i="0" u="none" strike="noStrike">
              <a:solidFill>
                <a:schemeClr val="bg1"/>
              </a:solidFill>
              <a:latin typeface="Calibri"/>
              <a:cs typeface="Calibri"/>
            </a:rPr>
            <a:pPr algn="ctr"/>
            <a:t>Meta 3</a:t>
          </a:fld>
          <a:endParaRPr lang="en-US">
            <a:solidFill>
              <a:schemeClr val="bg1"/>
            </a:solidFill>
          </a:endParaRPr>
        </a:p>
      </xdr:txBody>
    </xdr:sp>
    <xdr:clientData/>
  </xdr:twoCellAnchor>
  <xdr:twoCellAnchor>
    <xdr:from>
      <xdr:col>6</xdr:col>
      <xdr:colOff>47625</xdr:colOff>
      <xdr:row>2</xdr:row>
      <xdr:rowOff>66675</xdr:rowOff>
    </xdr:from>
    <xdr:to>
      <xdr:col>7</xdr:col>
      <xdr:colOff>123825</xdr:colOff>
      <xdr:row>3</xdr:row>
      <xdr:rowOff>58516</xdr:rowOff>
    </xdr:to>
    <xdr:sp macro="" textlink="'O1'!E10">
      <xdr:nvSpPr>
        <xdr:cNvPr id="18" name="Rectángulo 17">
          <a:hlinkClick xmlns:r="http://schemas.openxmlformats.org/officeDocument/2006/relationships" r:id="rId16"/>
          <a:extLst>
            <a:ext uri="{FF2B5EF4-FFF2-40B4-BE49-F238E27FC236}">
              <a16:creationId xmlns:a16="http://schemas.microsoft.com/office/drawing/2014/main" id="{A60BA98D-81A2-4327-9A8F-301283EFC943}"/>
            </a:ext>
          </a:extLst>
        </xdr:cNvPr>
        <xdr:cNvSpPr/>
      </xdr:nvSpPr>
      <xdr:spPr>
        <a:xfrm>
          <a:off x="10334625" y="876300"/>
          <a:ext cx="1457325"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71D0E313-FEB5-4F0B-BA82-D0292E46C713}" type="TxLink">
            <a:rPr lang="en-US" sz="1200" b="1" i="0" u="none" strike="noStrike">
              <a:solidFill>
                <a:schemeClr val="tx1"/>
              </a:solidFill>
              <a:latin typeface="Calibri"/>
              <a:cs typeface="Calibri"/>
            </a:rPr>
            <a:pPr algn="ctr"/>
            <a:t>Meta 4</a:t>
          </a:fld>
          <a:endParaRPr lang="en-US">
            <a:solidFill>
              <a:schemeClr val="tx1"/>
            </a:solidFill>
          </a:endParaRPr>
        </a:p>
      </xdr:txBody>
    </xdr:sp>
    <xdr:clientData/>
  </xdr:twoCellAnchor>
  <xdr:twoCellAnchor>
    <xdr:from>
      <xdr:col>7</xdr:col>
      <xdr:colOff>171450</xdr:colOff>
      <xdr:row>2</xdr:row>
      <xdr:rowOff>66675</xdr:rowOff>
    </xdr:from>
    <xdr:to>
      <xdr:col>8</xdr:col>
      <xdr:colOff>247650</xdr:colOff>
      <xdr:row>3</xdr:row>
      <xdr:rowOff>58516</xdr:rowOff>
    </xdr:to>
    <xdr:sp macro="" textlink="'O1'!F10">
      <xdr:nvSpPr>
        <xdr:cNvPr id="19" name="Rectángulo 18">
          <a:hlinkClick xmlns:r="http://schemas.openxmlformats.org/officeDocument/2006/relationships" r:id="rId17"/>
          <a:extLst>
            <a:ext uri="{FF2B5EF4-FFF2-40B4-BE49-F238E27FC236}">
              <a16:creationId xmlns:a16="http://schemas.microsoft.com/office/drawing/2014/main" id="{CBAAC9CB-A7B4-40AD-9515-C173DEB09429}"/>
            </a:ext>
          </a:extLst>
        </xdr:cNvPr>
        <xdr:cNvSpPr/>
      </xdr:nvSpPr>
      <xdr:spPr>
        <a:xfrm>
          <a:off x="11839575"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8A4B2DD-BA81-4C05-854D-8E7BEDAE1771}" type="TxLink">
            <a:rPr lang="en-US" sz="1200" b="1" i="0" u="none" strike="noStrike">
              <a:solidFill>
                <a:schemeClr val="bg1"/>
              </a:solidFill>
              <a:latin typeface="Calibri"/>
              <a:cs typeface="Calibri"/>
            </a:rPr>
            <a:pPr algn="ctr"/>
            <a:t>Meta 5</a:t>
          </a:fld>
          <a:endParaRPr lang="en-US">
            <a:solidFill>
              <a:schemeClr val="bg1"/>
            </a:solidFill>
          </a:endParaRPr>
        </a:p>
      </xdr:txBody>
    </xdr:sp>
    <xdr:clientData/>
  </xdr:twoCellAnchor>
  <xdr:twoCellAnchor>
    <xdr:from>
      <xdr:col>8</xdr:col>
      <xdr:colOff>295275</xdr:colOff>
      <xdr:row>2</xdr:row>
      <xdr:rowOff>66675</xdr:rowOff>
    </xdr:from>
    <xdr:to>
      <xdr:col>10</xdr:col>
      <xdr:colOff>228600</xdr:colOff>
      <xdr:row>3</xdr:row>
      <xdr:rowOff>58516</xdr:rowOff>
    </xdr:to>
    <xdr:sp macro="" textlink="'O1'!G10">
      <xdr:nvSpPr>
        <xdr:cNvPr id="20" name="Rectángulo 19">
          <a:hlinkClick xmlns:r="http://schemas.openxmlformats.org/officeDocument/2006/relationships" r:id="rId18"/>
          <a:extLst>
            <a:ext uri="{FF2B5EF4-FFF2-40B4-BE49-F238E27FC236}">
              <a16:creationId xmlns:a16="http://schemas.microsoft.com/office/drawing/2014/main" id="{0D9B95E0-65DD-45AF-9324-39EC9D99B764}"/>
            </a:ext>
          </a:extLst>
        </xdr:cNvPr>
        <xdr:cNvSpPr/>
      </xdr:nvSpPr>
      <xdr:spPr>
        <a:xfrm>
          <a:off x="13344525"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2C6E37E-903D-484D-AF67-16E431ADA288}" type="TxLink">
            <a:rPr lang="en-US" sz="1200" b="1" i="0" u="none" strike="noStrike">
              <a:solidFill>
                <a:schemeClr val="bg1"/>
              </a:solidFill>
              <a:latin typeface="Calibri"/>
              <a:cs typeface="Calibri"/>
            </a:rPr>
            <a:pPr algn="ctr"/>
            <a:t>Meta 6</a:t>
          </a:fld>
          <a:endParaRPr lang="en-US">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1381125</xdr:colOff>
      <xdr:row>0</xdr:row>
      <xdr:rowOff>0</xdr:rowOff>
    </xdr:from>
    <xdr:to>
      <xdr:col>2</xdr:col>
      <xdr:colOff>1059474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E0F083D7-0901-4098-BE30-FAD3F155742A}"/>
            </a:ext>
          </a:extLst>
        </xdr:cNvPr>
        <xdr:cNvSpPr txBox="1"/>
      </xdr:nvSpPr>
      <xdr:spPr>
        <a:xfrm>
          <a:off x="15621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2</xdr:col>
      <xdr:colOff>1110762</xdr:colOff>
      <xdr:row>0</xdr:row>
      <xdr:rowOff>0</xdr:rowOff>
    </xdr:from>
    <xdr:to>
      <xdr:col>3</xdr:col>
      <xdr:colOff>1170110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2002E843-1726-457F-B4E6-B24316D39657}"/>
            </a:ext>
          </a:extLst>
        </xdr:cNvPr>
        <xdr:cNvSpPr txBox="1"/>
      </xdr:nvSpPr>
      <xdr:spPr>
        <a:xfrm>
          <a:off x="347296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3</xdr:col>
      <xdr:colOff>1215995</xdr:colOff>
      <xdr:row>0</xdr:row>
      <xdr:rowOff>0</xdr:rowOff>
    </xdr:from>
    <xdr:to>
      <xdr:col>4</xdr:col>
      <xdr:colOff>826477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660F52A7-D881-4946-9E17-FEF10CC4E567}"/>
            </a:ext>
          </a:extLst>
        </xdr:cNvPr>
        <xdr:cNvSpPr txBox="1"/>
      </xdr:nvSpPr>
      <xdr:spPr>
        <a:xfrm>
          <a:off x="57594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4</xdr:col>
      <xdr:colOff>869886</xdr:colOff>
      <xdr:row>0</xdr:row>
      <xdr:rowOff>0</xdr:rowOff>
    </xdr:from>
    <xdr:to>
      <xdr:col>5</xdr:col>
      <xdr:colOff>680668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74F37BB0-86E8-4BCB-90B7-0D20179D6D4E}"/>
            </a:ext>
          </a:extLst>
        </xdr:cNvPr>
        <xdr:cNvSpPr txBox="1"/>
      </xdr:nvSpPr>
      <xdr:spPr>
        <a:xfrm>
          <a:off x="75945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1381125</xdr:colOff>
      <xdr:row>0</xdr:row>
      <xdr:rowOff>0</xdr:rowOff>
    </xdr:from>
    <xdr:to>
      <xdr:col>1</xdr:col>
      <xdr:colOff>1879356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8A71A5FD-BF97-437B-8C0C-F0F1637E7514}"/>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5621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1132743</xdr:colOff>
      <xdr:row>0</xdr:row>
      <xdr:rowOff>14654</xdr:rowOff>
    </xdr:from>
    <xdr:to>
      <xdr:col>2</xdr:col>
      <xdr:colOff>1601664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0550D493-1BA3-40D2-97E9-E9CD3B37B84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49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1236052</xdr:colOff>
      <xdr:row>0</xdr:row>
      <xdr:rowOff>0</xdr:rowOff>
    </xdr:from>
    <xdr:to>
      <xdr:col>3</xdr:col>
      <xdr:colOff>1631705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49AC3ED8-9A4C-4CC8-8EA2-865B8E6B44C6}"/>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7794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885090</xdr:colOff>
      <xdr:row>0</xdr:row>
      <xdr:rowOff>14654</xdr:rowOff>
    </xdr:from>
    <xdr:to>
      <xdr:col>4</xdr:col>
      <xdr:colOff>1463917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4947D359-1E13-43E5-A848-424116E70117}"/>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6097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xdr:row>
      <xdr:rowOff>9525</xdr:rowOff>
    </xdr:from>
    <xdr:to>
      <xdr:col>2</xdr:col>
      <xdr:colOff>2135842</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4C1B95F0-2006-47F4-824D-E6E5EA094DF8}"/>
            </a:ext>
          </a:extLst>
        </xdr:cNvPr>
        <xdr:cNvSpPr/>
      </xdr:nvSpPr>
      <xdr:spPr>
        <a:xfrm>
          <a:off x="244792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2</xdr:col>
      <xdr:colOff>2144933</xdr:colOff>
      <xdr:row>1</xdr:row>
      <xdr:rowOff>9525</xdr:rowOff>
    </xdr:from>
    <xdr:to>
      <xdr:col>3</xdr:col>
      <xdr:colOff>1288549</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EFDC5F69-352E-43DD-8A1D-3C6F0A52DE14}"/>
            </a:ext>
          </a:extLst>
        </xdr:cNvPr>
        <xdr:cNvSpPr/>
      </xdr:nvSpPr>
      <xdr:spPr>
        <a:xfrm>
          <a:off x="4507133"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3</xdr:col>
      <xdr:colOff>1298075</xdr:colOff>
      <xdr:row>1</xdr:row>
      <xdr:rowOff>9525</xdr:rowOff>
    </xdr:from>
    <xdr:to>
      <xdr:col>4</xdr:col>
      <xdr:colOff>268509</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D1FBBD73-9813-415E-AC3B-70D29E1639A8}"/>
            </a:ext>
          </a:extLst>
        </xdr:cNvPr>
        <xdr:cNvSpPr/>
      </xdr:nvSpPr>
      <xdr:spPr>
        <a:xfrm>
          <a:off x="5841500" y="504825"/>
          <a:ext cx="1151659"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tx1"/>
              </a:solidFill>
              <a:latin typeface="CALIBRI"/>
              <a:cs typeface="CALIBRI"/>
            </a:rPr>
            <a:pPr algn="ctr"/>
            <a:t>2.3. Objetivos</a:t>
          </a:fld>
          <a:endParaRPr lang="en-US" sz="1800" b="1">
            <a:solidFill>
              <a:schemeClr val="tx1"/>
            </a:solidFill>
          </a:endParaRPr>
        </a:p>
      </xdr:txBody>
    </xdr:sp>
    <xdr:clientData/>
  </xdr:twoCellAnchor>
  <xdr:twoCellAnchor>
    <xdr:from>
      <xdr:col>4</xdr:col>
      <xdr:colOff>287992</xdr:colOff>
      <xdr:row>1</xdr:row>
      <xdr:rowOff>9525</xdr:rowOff>
    </xdr:from>
    <xdr:to>
      <xdr:col>4</xdr:col>
      <xdr:colOff>2050117</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BF35157F-DC1D-473F-A57D-6C697D38A316}"/>
            </a:ext>
          </a:extLst>
        </xdr:cNvPr>
        <xdr:cNvSpPr/>
      </xdr:nvSpPr>
      <xdr:spPr>
        <a:xfrm>
          <a:off x="7012642"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4</xdr:col>
      <xdr:colOff>2069167</xdr:colOff>
      <xdr:row>1</xdr:row>
      <xdr:rowOff>9525</xdr:rowOff>
    </xdr:from>
    <xdr:to>
      <xdr:col>5</xdr:col>
      <xdr:colOff>1345267</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C659C627-58F0-4427-9513-FB97E587ED99}"/>
            </a:ext>
          </a:extLst>
        </xdr:cNvPr>
        <xdr:cNvSpPr/>
      </xdr:nvSpPr>
      <xdr:spPr>
        <a:xfrm>
          <a:off x="8793817"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3</xdr:col>
      <xdr:colOff>1276350</xdr:colOff>
      <xdr:row>2</xdr:row>
      <xdr:rowOff>66675</xdr:rowOff>
    </xdr:from>
    <xdr:to>
      <xdr:col>4</xdr:col>
      <xdr:colOff>552450</xdr:colOff>
      <xdr:row>3</xdr:row>
      <xdr:rowOff>58516</xdr:rowOff>
    </xdr:to>
    <xdr:sp macro="" textlink="'O1'!B10">
      <xdr:nvSpPr>
        <xdr:cNvPr id="15" name="Rectángulo 14">
          <a:hlinkClick xmlns:r="http://schemas.openxmlformats.org/officeDocument/2006/relationships" r:id="rId11"/>
          <a:extLst>
            <a:ext uri="{FF2B5EF4-FFF2-40B4-BE49-F238E27FC236}">
              <a16:creationId xmlns:a16="http://schemas.microsoft.com/office/drawing/2014/main" id="{E44BFE55-3E9C-47CE-B9B7-51FA12567D37}"/>
            </a:ext>
          </a:extLst>
        </xdr:cNvPr>
        <xdr:cNvSpPr/>
      </xdr:nvSpPr>
      <xdr:spPr>
        <a:xfrm>
          <a:off x="5819775"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444BDD43-66CA-4FDD-B623-F44F35B48112}" type="TxLink">
            <a:rPr lang="en-US" sz="1200" b="1" i="0" u="none" strike="noStrike">
              <a:solidFill>
                <a:schemeClr val="bg1"/>
              </a:solidFill>
              <a:latin typeface="Calibri"/>
              <a:cs typeface="Calibri"/>
            </a:rPr>
            <a:pPr algn="ctr"/>
            <a:t>Meta 1</a:t>
          </a:fld>
          <a:endParaRPr lang="en-US">
            <a:solidFill>
              <a:schemeClr val="bg1"/>
            </a:solidFill>
          </a:endParaRPr>
        </a:p>
      </xdr:txBody>
    </xdr:sp>
    <xdr:clientData/>
  </xdr:twoCellAnchor>
  <xdr:twoCellAnchor>
    <xdr:from>
      <xdr:col>4</xdr:col>
      <xdr:colOff>600075</xdr:colOff>
      <xdr:row>2</xdr:row>
      <xdr:rowOff>66675</xdr:rowOff>
    </xdr:from>
    <xdr:to>
      <xdr:col>4</xdr:col>
      <xdr:colOff>2057400</xdr:colOff>
      <xdr:row>3</xdr:row>
      <xdr:rowOff>58516</xdr:rowOff>
    </xdr:to>
    <xdr:sp macro="" textlink="'O1'!C10">
      <xdr:nvSpPr>
        <xdr:cNvPr id="16" name="Rectángulo 15">
          <a:hlinkClick xmlns:r="http://schemas.openxmlformats.org/officeDocument/2006/relationships" r:id="rId14"/>
          <a:extLst>
            <a:ext uri="{FF2B5EF4-FFF2-40B4-BE49-F238E27FC236}">
              <a16:creationId xmlns:a16="http://schemas.microsoft.com/office/drawing/2014/main" id="{58FBB848-CFE5-4493-A663-244D7627EE64}"/>
            </a:ext>
          </a:extLst>
        </xdr:cNvPr>
        <xdr:cNvSpPr/>
      </xdr:nvSpPr>
      <xdr:spPr>
        <a:xfrm>
          <a:off x="7324725"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3CA94B9-5EDC-464C-A2C5-0F7274AD8131}" type="TxLink">
            <a:rPr lang="en-US" sz="1200" b="1" i="0" u="none" strike="noStrike">
              <a:solidFill>
                <a:schemeClr val="bg1"/>
              </a:solidFill>
              <a:latin typeface="Calibri"/>
              <a:cs typeface="Calibri"/>
            </a:rPr>
            <a:pPr algn="ctr"/>
            <a:t>Meta 2</a:t>
          </a:fld>
          <a:endParaRPr lang="en-US">
            <a:solidFill>
              <a:schemeClr val="bg1"/>
            </a:solidFill>
          </a:endParaRPr>
        </a:p>
      </xdr:txBody>
    </xdr:sp>
    <xdr:clientData/>
  </xdr:twoCellAnchor>
  <xdr:twoCellAnchor>
    <xdr:from>
      <xdr:col>4</xdr:col>
      <xdr:colOff>2105025</xdr:colOff>
      <xdr:row>2</xdr:row>
      <xdr:rowOff>66675</xdr:rowOff>
    </xdr:from>
    <xdr:to>
      <xdr:col>6</xdr:col>
      <xdr:colOff>0</xdr:colOff>
      <xdr:row>3</xdr:row>
      <xdr:rowOff>58516</xdr:rowOff>
    </xdr:to>
    <xdr:sp macro="" textlink="'O1'!D10">
      <xdr:nvSpPr>
        <xdr:cNvPr id="17" name="Rectángulo 16">
          <a:hlinkClick xmlns:r="http://schemas.openxmlformats.org/officeDocument/2006/relationships" r:id="rId15"/>
          <a:extLst>
            <a:ext uri="{FF2B5EF4-FFF2-40B4-BE49-F238E27FC236}">
              <a16:creationId xmlns:a16="http://schemas.microsoft.com/office/drawing/2014/main" id="{448FC01E-DDD6-4993-BADD-0C3DFF04C092}"/>
            </a:ext>
          </a:extLst>
        </xdr:cNvPr>
        <xdr:cNvSpPr/>
      </xdr:nvSpPr>
      <xdr:spPr>
        <a:xfrm>
          <a:off x="8829675"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50D9D654-0AC0-4B94-8C50-A2788FBBCB8F}" type="TxLink">
            <a:rPr lang="en-US" sz="1200" b="1" i="0" u="none" strike="noStrike">
              <a:solidFill>
                <a:schemeClr val="bg1"/>
              </a:solidFill>
              <a:latin typeface="Calibri"/>
              <a:cs typeface="Calibri"/>
            </a:rPr>
            <a:pPr algn="ctr"/>
            <a:t>Meta 3</a:t>
          </a:fld>
          <a:endParaRPr lang="en-US">
            <a:solidFill>
              <a:schemeClr val="bg1"/>
            </a:solidFill>
          </a:endParaRPr>
        </a:p>
      </xdr:txBody>
    </xdr:sp>
    <xdr:clientData/>
  </xdr:twoCellAnchor>
  <xdr:twoCellAnchor>
    <xdr:from>
      <xdr:col>6</xdr:col>
      <xdr:colOff>47625</xdr:colOff>
      <xdr:row>2</xdr:row>
      <xdr:rowOff>66675</xdr:rowOff>
    </xdr:from>
    <xdr:to>
      <xdr:col>7</xdr:col>
      <xdr:colOff>123825</xdr:colOff>
      <xdr:row>3</xdr:row>
      <xdr:rowOff>58516</xdr:rowOff>
    </xdr:to>
    <xdr:sp macro="" textlink="'O1'!E10">
      <xdr:nvSpPr>
        <xdr:cNvPr id="18" name="Rectángulo 17">
          <a:hlinkClick xmlns:r="http://schemas.openxmlformats.org/officeDocument/2006/relationships" r:id="rId16"/>
          <a:extLst>
            <a:ext uri="{FF2B5EF4-FFF2-40B4-BE49-F238E27FC236}">
              <a16:creationId xmlns:a16="http://schemas.microsoft.com/office/drawing/2014/main" id="{ADE0B375-2F7F-4D1B-892F-A07277A9368D}"/>
            </a:ext>
          </a:extLst>
        </xdr:cNvPr>
        <xdr:cNvSpPr/>
      </xdr:nvSpPr>
      <xdr:spPr>
        <a:xfrm>
          <a:off x="10334625"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71D0E313-FEB5-4F0B-BA82-D0292E46C713}" type="TxLink">
            <a:rPr lang="en-US" sz="1200" b="1" i="0" u="none" strike="noStrike">
              <a:solidFill>
                <a:schemeClr val="bg1"/>
              </a:solidFill>
              <a:latin typeface="Calibri"/>
              <a:cs typeface="Calibri"/>
            </a:rPr>
            <a:pPr algn="ctr"/>
            <a:t>Meta 4</a:t>
          </a:fld>
          <a:endParaRPr lang="en-US">
            <a:solidFill>
              <a:schemeClr val="bg1"/>
            </a:solidFill>
          </a:endParaRPr>
        </a:p>
      </xdr:txBody>
    </xdr:sp>
    <xdr:clientData/>
  </xdr:twoCellAnchor>
  <xdr:twoCellAnchor>
    <xdr:from>
      <xdr:col>7</xdr:col>
      <xdr:colOff>171450</xdr:colOff>
      <xdr:row>2</xdr:row>
      <xdr:rowOff>66675</xdr:rowOff>
    </xdr:from>
    <xdr:to>
      <xdr:col>8</xdr:col>
      <xdr:colOff>247650</xdr:colOff>
      <xdr:row>3</xdr:row>
      <xdr:rowOff>58516</xdr:rowOff>
    </xdr:to>
    <xdr:sp macro="" textlink="'O1'!F10">
      <xdr:nvSpPr>
        <xdr:cNvPr id="19" name="Rectángulo 18">
          <a:hlinkClick xmlns:r="http://schemas.openxmlformats.org/officeDocument/2006/relationships" r:id="rId17"/>
          <a:extLst>
            <a:ext uri="{FF2B5EF4-FFF2-40B4-BE49-F238E27FC236}">
              <a16:creationId xmlns:a16="http://schemas.microsoft.com/office/drawing/2014/main" id="{640FAE1E-D3A5-4950-A868-7F9AA9FDAC91}"/>
            </a:ext>
          </a:extLst>
        </xdr:cNvPr>
        <xdr:cNvSpPr/>
      </xdr:nvSpPr>
      <xdr:spPr>
        <a:xfrm>
          <a:off x="11839575" y="876300"/>
          <a:ext cx="1457325"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8A4B2DD-BA81-4C05-854D-8E7BEDAE1771}" type="TxLink">
            <a:rPr lang="en-US" sz="1200" b="1" i="0" u="none" strike="noStrike">
              <a:solidFill>
                <a:schemeClr val="tx1"/>
              </a:solidFill>
              <a:latin typeface="Calibri"/>
              <a:cs typeface="Calibri"/>
            </a:rPr>
            <a:pPr algn="ctr"/>
            <a:t>Meta 5</a:t>
          </a:fld>
          <a:endParaRPr lang="en-US">
            <a:solidFill>
              <a:schemeClr val="tx1"/>
            </a:solidFill>
          </a:endParaRPr>
        </a:p>
      </xdr:txBody>
    </xdr:sp>
    <xdr:clientData/>
  </xdr:twoCellAnchor>
  <xdr:twoCellAnchor>
    <xdr:from>
      <xdr:col>8</xdr:col>
      <xdr:colOff>295275</xdr:colOff>
      <xdr:row>2</xdr:row>
      <xdr:rowOff>66675</xdr:rowOff>
    </xdr:from>
    <xdr:to>
      <xdr:col>10</xdr:col>
      <xdr:colOff>228600</xdr:colOff>
      <xdr:row>3</xdr:row>
      <xdr:rowOff>58516</xdr:rowOff>
    </xdr:to>
    <xdr:sp macro="" textlink="'O1'!G10">
      <xdr:nvSpPr>
        <xdr:cNvPr id="20" name="Rectángulo 19">
          <a:hlinkClick xmlns:r="http://schemas.openxmlformats.org/officeDocument/2006/relationships" r:id="rId18"/>
          <a:extLst>
            <a:ext uri="{FF2B5EF4-FFF2-40B4-BE49-F238E27FC236}">
              <a16:creationId xmlns:a16="http://schemas.microsoft.com/office/drawing/2014/main" id="{8E4D3AFB-7D84-413B-8129-26552E1999FC}"/>
            </a:ext>
          </a:extLst>
        </xdr:cNvPr>
        <xdr:cNvSpPr/>
      </xdr:nvSpPr>
      <xdr:spPr>
        <a:xfrm>
          <a:off x="13344525"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2C6E37E-903D-484D-AF67-16E431ADA288}" type="TxLink">
            <a:rPr lang="en-US" sz="1200" b="1" i="0" u="none" strike="noStrike">
              <a:solidFill>
                <a:schemeClr val="bg1"/>
              </a:solidFill>
              <a:latin typeface="Calibri"/>
              <a:cs typeface="Calibri"/>
            </a:rPr>
            <a:pPr algn="ctr"/>
            <a:t>Meta 6</a:t>
          </a:fld>
          <a:endParaRPr lang="en-US">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1381125</xdr:colOff>
      <xdr:row>0</xdr:row>
      <xdr:rowOff>0</xdr:rowOff>
    </xdr:from>
    <xdr:to>
      <xdr:col>2</xdr:col>
      <xdr:colOff>1059474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3AF585BC-342A-4FA1-BD92-42528E9913DC}"/>
            </a:ext>
          </a:extLst>
        </xdr:cNvPr>
        <xdr:cNvSpPr txBox="1"/>
      </xdr:nvSpPr>
      <xdr:spPr>
        <a:xfrm>
          <a:off x="15621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2</xdr:col>
      <xdr:colOff>1110762</xdr:colOff>
      <xdr:row>0</xdr:row>
      <xdr:rowOff>0</xdr:rowOff>
    </xdr:from>
    <xdr:to>
      <xdr:col>3</xdr:col>
      <xdr:colOff>1170110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B00C6C55-BCAB-4AE2-8F72-C19CBE2352CD}"/>
            </a:ext>
          </a:extLst>
        </xdr:cNvPr>
        <xdr:cNvSpPr txBox="1"/>
      </xdr:nvSpPr>
      <xdr:spPr>
        <a:xfrm>
          <a:off x="347296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3</xdr:col>
      <xdr:colOff>1215995</xdr:colOff>
      <xdr:row>0</xdr:row>
      <xdr:rowOff>0</xdr:rowOff>
    </xdr:from>
    <xdr:to>
      <xdr:col>4</xdr:col>
      <xdr:colOff>826477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649AEC23-99CC-48EE-AE89-BA359D1BCF54}"/>
            </a:ext>
          </a:extLst>
        </xdr:cNvPr>
        <xdr:cNvSpPr txBox="1"/>
      </xdr:nvSpPr>
      <xdr:spPr>
        <a:xfrm>
          <a:off x="57594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4</xdr:col>
      <xdr:colOff>869886</xdr:colOff>
      <xdr:row>0</xdr:row>
      <xdr:rowOff>0</xdr:rowOff>
    </xdr:from>
    <xdr:to>
      <xdr:col>5</xdr:col>
      <xdr:colOff>680668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97729393-DD8D-4718-95B3-D0494E8300B8}"/>
            </a:ext>
          </a:extLst>
        </xdr:cNvPr>
        <xdr:cNvSpPr txBox="1"/>
      </xdr:nvSpPr>
      <xdr:spPr>
        <a:xfrm>
          <a:off x="75945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1381125</xdr:colOff>
      <xdr:row>0</xdr:row>
      <xdr:rowOff>0</xdr:rowOff>
    </xdr:from>
    <xdr:to>
      <xdr:col>1</xdr:col>
      <xdr:colOff>1879356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00751369-2000-45A8-806F-A0CCC16C535E}"/>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5621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1132743</xdr:colOff>
      <xdr:row>0</xdr:row>
      <xdr:rowOff>14654</xdr:rowOff>
    </xdr:from>
    <xdr:to>
      <xdr:col>2</xdr:col>
      <xdr:colOff>1601664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B2660060-23CE-4492-934F-608B8FA8D06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49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1236052</xdr:colOff>
      <xdr:row>0</xdr:row>
      <xdr:rowOff>0</xdr:rowOff>
    </xdr:from>
    <xdr:to>
      <xdr:col>3</xdr:col>
      <xdr:colOff>1631705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1CC223F0-06C3-4FA9-B07B-2FA2794C9744}"/>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7794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885090</xdr:colOff>
      <xdr:row>0</xdr:row>
      <xdr:rowOff>14654</xdr:rowOff>
    </xdr:from>
    <xdr:to>
      <xdr:col>4</xdr:col>
      <xdr:colOff>1463917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4E2FC00A-18C3-42B7-BC38-F77D36ED0662}"/>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6097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xdr:row>
      <xdr:rowOff>0</xdr:rowOff>
    </xdr:from>
    <xdr:to>
      <xdr:col>2</xdr:col>
      <xdr:colOff>2116792</xdr:colOff>
      <xdr:row>1</xdr:row>
      <xdr:rowOff>302559</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8A639E07-D597-4EED-8D2A-F11183830F30}"/>
            </a:ext>
          </a:extLst>
        </xdr:cNvPr>
        <xdr:cNvSpPr/>
      </xdr:nvSpPr>
      <xdr:spPr>
        <a:xfrm>
          <a:off x="2428875" y="495300"/>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2</xdr:col>
      <xdr:colOff>2125883</xdr:colOff>
      <xdr:row>1</xdr:row>
      <xdr:rowOff>0</xdr:rowOff>
    </xdr:from>
    <xdr:to>
      <xdr:col>3</xdr:col>
      <xdr:colOff>1269499</xdr:colOff>
      <xdr:row>1</xdr:row>
      <xdr:rowOff>302559</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416A6774-7D47-4DD6-8CEB-F2A3C251ABE5}"/>
            </a:ext>
          </a:extLst>
        </xdr:cNvPr>
        <xdr:cNvSpPr/>
      </xdr:nvSpPr>
      <xdr:spPr>
        <a:xfrm>
          <a:off x="4488083" y="495300"/>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3</xdr:col>
      <xdr:colOff>1279025</xdr:colOff>
      <xdr:row>1</xdr:row>
      <xdr:rowOff>9525</xdr:rowOff>
    </xdr:from>
    <xdr:to>
      <xdr:col>4</xdr:col>
      <xdr:colOff>249459</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872D3AC7-D688-4651-9307-DE586439C44B}"/>
            </a:ext>
          </a:extLst>
        </xdr:cNvPr>
        <xdr:cNvSpPr/>
      </xdr:nvSpPr>
      <xdr:spPr>
        <a:xfrm>
          <a:off x="5822450" y="504825"/>
          <a:ext cx="1151659"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tx1"/>
              </a:solidFill>
              <a:latin typeface="CALIBRI"/>
              <a:cs typeface="CALIBRI"/>
            </a:rPr>
            <a:pPr algn="ctr"/>
            <a:t>2.3. Objetivos</a:t>
          </a:fld>
          <a:endParaRPr lang="en-US" sz="1800" b="1">
            <a:solidFill>
              <a:schemeClr val="tx1"/>
            </a:solidFill>
          </a:endParaRPr>
        </a:p>
      </xdr:txBody>
    </xdr:sp>
    <xdr:clientData/>
  </xdr:twoCellAnchor>
  <xdr:twoCellAnchor>
    <xdr:from>
      <xdr:col>4</xdr:col>
      <xdr:colOff>268942</xdr:colOff>
      <xdr:row>1</xdr:row>
      <xdr:rowOff>0</xdr:rowOff>
    </xdr:from>
    <xdr:to>
      <xdr:col>4</xdr:col>
      <xdr:colOff>2031067</xdr:colOff>
      <xdr:row>1</xdr:row>
      <xdr:rowOff>302559</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E078BBB5-97A2-416A-98B6-F5E3F7CCAE40}"/>
            </a:ext>
          </a:extLst>
        </xdr:cNvPr>
        <xdr:cNvSpPr/>
      </xdr:nvSpPr>
      <xdr:spPr>
        <a:xfrm>
          <a:off x="6993592" y="495300"/>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4</xdr:col>
      <xdr:colOff>2050117</xdr:colOff>
      <xdr:row>1</xdr:row>
      <xdr:rowOff>0</xdr:rowOff>
    </xdr:from>
    <xdr:to>
      <xdr:col>5</xdr:col>
      <xdr:colOff>1326217</xdr:colOff>
      <xdr:row>1</xdr:row>
      <xdr:rowOff>302559</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16763002-DFB8-48CD-A1BB-3A44FE8DCF03}"/>
            </a:ext>
          </a:extLst>
        </xdr:cNvPr>
        <xdr:cNvSpPr/>
      </xdr:nvSpPr>
      <xdr:spPr>
        <a:xfrm>
          <a:off x="8774767" y="495300"/>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3</xdr:col>
      <xdr:colOff>1266825</xdr:colOff>
      <xdr:row>2</xdr:row>
      <xdr:rowOff>66675</xdr:rowOff>
    </xdr:from>
    <xdr:to>
      <xdr:col>4</xdr:col>
      <xdr:colOff>542925</xdr:colOff>
      <xdr:row>3</xdr:row>
      <xdr:rowOff>58516</xdr:rowOff>
    </xdr:to>
    <xdr:sp macro="" textlink="'O1'!B10">
      <xdr:nvSpPr>
        <xdr:cNvPr id="15" name="Rectángulo 14">
          <a:hlinkClick xmlns:r="http://schemas.openxmlformats.org/officeDocument/2006/relationships" r:id="rId11"/>
          <a:extLst>
            <a:ext uri="{FF2B5EF4-FFF2-40B4-BE49-F238E27FC236}">
              <a16:creationId xmlns:a16="http://schemas.microsoft.com/office/drawing/2014/main" id="{C7347790-E9C8-4209-A75C-06CB7DA22023}"/>
            </a:ext>
          </a:extLst>
        </xdr:cNvPr>
        <xdr:cNvSpPr/>
      </xdr:nvSpPr>
      <xdr:spPr>
        <a:xfrm>
          <a:off x="5810250"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444BDD43-66CA-4FDD-B623-F44F35B48112}" type="TxLink">
            <a:rPr lang="en-US" sz="1200" b="1" i="0" u="none" strike="noStrike">
              <a:solidFill>
                <a:schemeClr val="bg1"/>
              </a:solidFill>
              <a:latin typeface="Calibri"/>
              <a:cs typeface="Calibri"/>
            </a:rPr>
            <a:pPr algn="ctr"/>
            <a:t>Meta 1</a:t>
          </a:fld>
          <a:endParaRPr lang="en-US">
            <a:solidFill>
              <a:schemeClr val="bg1"/>
            </a:solidFill>
          </a:endParaRPr>
        </a:p>
      </xdr:txBody>
    </xdr:sp>
    <xdr:clientData/>
  </xdr:twoCellAnchor>
  <xdr:twoCellAnchor>
    <xdr:from>
      <xdr:col>4</xdr:col>
      <xdr:colOff>590550</xdr:colOff>
      <xdr:row>2</xdr:row>
      <xdr:rowOff>66675</xdr:rowOff>
    </xdr:from>
    <xdr:to>
      <xdr:col>4</xdr:col>
      <xdr:colOff>2047875</xdr:colOff>
      <xdr:row>3</xdr:row>
      <xdr:rowOff>58516</xdr:rowOff>
    </xdr:to>
    <xdr:sp macro="" textlink="'O1'!C10">
      <xdr:nvSpPr>
        <xdr:cNvPr id="16" name="Rectángulo 15">
          <a:hlinkClick xmlns:r="http://schemas.openxmlformats.org/officeDocument/2006/relationships" r:id="rId14"/>
          <a:extLst>
            <a:ext uri="{FF2B5EF4-FFF2-40B4-BE49-F238E27FC236}">
              <a16:creationId xmlns:a16="http://schemas.microsoft.com/office/drawing/2014/main" id="{B3578496-474A-4555-B5C5-69CBCA0F27B4}"/>
            </a:ext>
          </a:extLst>
        </xdr:cNvPr>
        <xdr:cNvSpPr/>
      </xdr:nvSpPr>
      <xdr:spPr>
        <a:xfrm>
          <a:off x="7315200"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3CA94B9-5EDC-464C-A2C5-0F7274AD8131}" type="TxLink">
            <a:rPr lang="en-US" sz="1200" b="1" i="0" u="none" strike="noStrike">
              <a:solidFill>
                <a:schemeClr val="bg1"/>
              </a:solidFill>
              <a:latin typeface="Calibri"/>
              <a:cs typeface="Calibri"/>
            </a:rPr>
            <a:pPr algn="ctr"/>
            <a:t>Meta 2</a:t>
          </a:fld>
          <a:endParaRPr lang="en-US">
            <a:solidFill>
              <a:schemeClr val="bg1"/>
            </a:solidFill>
          </a:endParaRPr>
        </a:p>
      </xdr:txBody>
    </xdr:sp>
    <xdr:clientData/>
  </xdr:twoCellAnchor>
  <xdr:twoCellAnchor>
    <xdr:from>
      <xdr:col>4</xdr:col>
      <xdr:colOff>2095500</xdr:colOff>
      <xdr:row>2</xdr:row>
      <xdr:rowOff>66675</xdr:rowOff>
    </xdr:from>
    <xdr:to>
      <xdr:col>5</xdr:col>
      <xdr:colOff>1371600</xdr:colOff>
      <xdr:row>3</xdr:row>
      <xdr:rowOff>58516</xdr:rowOff>
    </xdr:to>
    <xdr:sp macro="" textlink="'O1'!D10">
      <xdr:nvSpPr>
        <xdr:cNvPr id="17" name="Rectángulo 16">
          <a:hlinkClick xmlns:r="http://schemas.openxmlformats.org/officeDocument/2006/relationships" r:id="rId15"/>
          <a:extLst>
            <a:ext uri="{FF2B5EF4-FFF2-40B4-BE49-F238E27FC236}">
              <a16:creationId xmlns:a16="http://schemas.microsoft.com/office/drawing/2014/main" id="{5BF921C6-5CDB-4BDD-8D10-35A6A2FC23EA}"/>
            </a:ext>
          </a:extLst>
        </xdr:cNvPr>
        <xdr:cNvSpPr/>
      </xdr:nvSpPr>
      <xdr:spPr>
        <a:xfrm>
          <a:off x="8820150"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50D9D654-0AC0-4B94-8C50-A2788FBBCB8F}" type="TxLink">
            <a:rPr lang="en-US" sz="1200" b="1" i="0" u="none" strike="noStrike">
              <a:solidFill>
                <a:schemeClr val="bg1"/>
              </a:solidFill>
              <a:latin typeface="Calibri"/>
              <a:cs typeface="Calibri"/>
            </a:rPr>
            <a:pPr algn="ctr"/>
            <a:t>Meta 3</a:t>
          </a:fld>
          <a:endParaRPr lang="en-US">
            <a:solidFill>
              <a:schemeClr val="bg1"/>
            </a:solidFill>
          </a:endParaRPr>
        </a:p>
      </xdr:txBody>
    </xdr:sp>
    <xdr:clientData/>
  </xdr:twoCellAnchor>
  <xdr:twoCellAnchor>
    <xdr:from>
      <xdr:col>6</xdr:col>
      <xdr:colOff>38100</xdr:colOff>
      <xdr:row>2</xdr:row>
      <xdr:rowOff>66675</xdr:rowOff>
    </xdr:from>
    <xdr:to>
      <xdr:col>7</xdr:col>
      <xdr:colOff>114300</xdr:colOff>
      <xdr:row>3</xdr:row>
      <xdr:rowOff>58516</xdr:rowOff>
    </xdr:to>
    <xdr:sp macro="" textlink="'O1'!E10">
      <xdr:nvSpPr>
        <xdr:cNvPr id="18" name="Rectángulo 17">
          <a:hlinkClick xmlns:r="http://schemas.openxmlformats.org/officeDocument/2006/relationships" r:id="rId16"/>
          <a:extLst>
            <a:ext uri="{FF2B5EF4-FFF2-40B4-BE49-F238E27FC236}">
              <a16:creationId xmlns:a16="http://schemas.microsoft.com/office/drawing/2014/main" id="{6481640A-929E-4177-8AA8-D9FFCEA0F501}"/>
            </a:ext>
          </a:extLst>
        </xdr:cNvPr>
        <xdr:cNvSpPr/>
      </xdr:nvSpPr>
      <xdr:spPr>
        <a:xfrm>
          <a:off x="10325100"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71D0E313-FEB5-4F0B-BA82-D0292E46C713}" type="TxLink">
            <a:rPr lang="en-US" sz="1200" b="1" i="0" u="none" strike="noStrike">
              <a:solidFill>
                <a:schemeClr val="bg1"/>
              </a:solidFill>
              <a:latin typeface="Calibri"/>
              <a:cs typeface="Calibri"/>
            </a:rPr>
            <a:pPr algn="ctr"/>
            <a:t>Meta 4</a:t>
          </a:fld>
          <a:endParaRPr lang="en-US">
            <a:solidFill>
              <a:schemeClr val="bg1"/>
            </a:solidFill>
          </a:endParaRPr>
        </a:p>
      </xdr:txBody>
    </xdr:sp>
    <xdr:clientData/>
  </xdr:twoCellAnchor>
  <xdr:twoCellAnchor>
    <xdr:from>
      <xdr:col>7</xdr:col>
      <xdr:colOff>161925</xdr:colOff>
      <xdr:row>2</xdr:row>
      <xdr:rowOff>66675</xdr:rowOff>
    </xdr:from>
    <xdr:to>
      <xdr:col>8</xdr:col>
      <xdr:colOff>238125</xdr:colOff>
      <xdr:row>3</xdr:row>
      <xdr:rowOff>58516</xdr:rowOff>
    </xdr:to>
    <xdr:sp macro="" textlink="'O1'!F10">
      <xdr:nvSpPr>
        <xdr:cNvPr id="19" name="Rectángulo 18">
          <a:hlinkClick xmlns:r="http://schemas.openxmlformats.org/officeDocument/2006/relationships" r:id="rId17"/>
          <a:extLst>
            <a:ext uri="{FF2B5EF4-FFF2-40B4-BE49-F238E27FC236}">
              <a16:creationId xmlns:a16="http://schemas.microsoft.com/office/drawing/2014/main" id="{D991A4C3-E1E2-4DD2-8F2E-B6F2E96DE314}"/>
            </a:ext>
          </a:extLst>
        </xdr:cNvPr>
        <xdr:cNvSpPr/>
      </xdr:nvSpPr>
      <xdr:spPr>
        <a:xfrm>
          <a:off x="11830050" y="876300"/>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8A4B2DD-BA81-4C05-854D-8E7BEDAE1771}" type="TxLink">
            <a:rPr lang="en-US" sz="1200" b="1" i="0" u="none" strike="noStrike">
              <a:solidFill>
                <a:schemeClr val="bg1"/>
              </a:solidFill>
              <a:latin typeface="Calibri"/>
              <a:cs typeface="Calibri"/>
            </a:rPr>
            <a:pPr algn="ctr"/>
            <a:t>Meta 5</a:t>
          </a:fld>
          <a:endParaRPr lang="en-US">
            <a:solidFill>
              <a:schemeClr val="bg1"/>
            </a:solidFill>
          </a:endParaRPr>
        </a:p>
      </xdr:txBody>
    </xdr:sp>
    <xdr:clientData/>
  </xdr:twoCellAnchor>
  <xdr:twoCellAnchor>
    <xdr:from>
      <xdr:col>8</xdr:col>
      <xdr:colOff>285750</xdr:colOff>
      <xdr:row>2</xdr:row>
      <xdr:rowOff>66675</xdr:rowOff>
    </xdr:from>
    <xdr:to>
      <xdr:col>10</xdr:col>
      <xdr:colOff>219075</xdr:colOff>
      <xdr:row>3</xdr:row>
      <xdr:rowOff>58516</xdr:rowOff>
    </xdr:to>
    <xdr:sp macro="" textlink="'O1'!G10">
      <xdr:nvSpPr>
        <xdr:cNvPr id="20" name="Rectángulo 19">
          <a:hlinkClick xmlns:r="http://schemas.openxmlformats.org/officeDocument/2006/relationships" r:id="rId18"/>
          <a:extLst>
            <a:ext uri="{FF2B5EF4-FFF2-40B4-BE49-F238E27FC236}">
              <a16:creationId xmlns:a16="http://schemas.microsoft.com/office/drawing/2014/main" id="{C32BB3DE-4D7B-4052-B84A-00E74DDD0CAA}"/>
            </a:ext>
          </a:extLst>
        </xdr:cNvPr>
        <xdr:cNvSpPr/>
      </xdr:nvSpPr>
      <xdr:spPr>
        <a:xfrm>
          <a:off x="13335000" y="876300"/>
          <a:ext cx="1457325"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2C6E37E-903D-484D-AF67-16E431ADA288}" type="TxLink">
            <a:rPr lang="en-US" sz="1200" b="1" i="0" u="none" strike="noStrike">
              <a:solidFill>
                <a:schemeClr val="tx1"/>
              </a:solidFill>
              <a:latin typeface="Calibri"/>
              <a:cs typeface="Calibri"/>
            </a:rPr>
            <a:pPr algn="ctr"/>
            <a:t>Meta 6</a:t>
          </a:fld>
          <a:endParaRPr lang="en-US">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2</xdr:col>
      <xdr:colOff>523875</xdr:colOff>
      <xdr:row>0</xdr:row>
      <xdr:rowOff>0</xdr:rowOff>
    </xdr:from>
    <xdr:to>
      <xdr:col>4</xdr:col>
      <xdr:colOff>154599</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AD225FEF-8F4A-46DD-816C-738AA2BFACDE}"/>
            </a:ext>
          </a:extLst>
        </xdr:cNvPr>
        <xdr:cNvSpPr txBox="1"/>
      </xdr:nvSpPr>
      <xdr:spPr>
        <a:xfrm>
          <a:off x="1819275"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4</xdr:col>
      <xdr:colOff>205887</xdr:colOff>
      <xdr:row>0</xdr:row>
      <xdr:rowOff>0</xdr:rowOff>
    </xdr:from>
    <xdr:to>
      <xdr:col>6</xdr:col>
      <xdr:colOff>217610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D8E5A8E5-4068-40C8-8B09-F086D2BA1F0C}"/>
            </a:ext>
          </a:extLst>
        </xdr:cNvPr>
        <xdr:cNvSpPr txBox="1"/>
      </xdr:nvSpPr>
      <xdr:spPr>
        <a:xfrm>
          <a:off x="3730137"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6</xdr:col>
      <xdr:colOff>263495</xdr:colOff>
      <xdr:row>0</xdr:row>
      <xdr:rowOff>0</xdr:rowOff>
    </xdr:from>
    <xdr:to>
      <xdr:col>7</xdr:col>
      <xdr:colOff>940777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685618EF-9600-4D97-BAF8-2C222CDC79A8}"/>
            </a:ext>
          </a:extLst>
        </xdr:cNvPr>
        <xdr:cNvSpPr txBox="1"/>
      </xdr:nvSpPr>
      <xdr:spPr>
        <a:xfrm>
          <a:off x="6016595"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7</xdr:col>
      <xdr:colOff>984186</xdr:colOff>
      <xdr:row>0</xdr:row>
      <xdr:rowOff>0</xdr:rowOff>
    </xdr:from>
    <xdr:to>
      <xdr:col>9</xdr:col>
      <xdr:colOff>747343</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6E0B101D-DA0F-4FC8-A1F9-D036975009B0}"/>
            </a:ext>
          </a:extLst>
        </xdr:cNvPr>
        <xdr:cNvSpPr txBox="1"/>
      </xdr:nvSpPr>
      <xdr:spPr>
        <a:xfrm>
          <a:off x="7851711"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523875</xdr:colOff>
      <xdr:row>0</xdr:row>
      <xdr:rowOff>0</xdr:rowOff>
    </xdr:from>
    <xdr:to>
      <xdr:col>2</xdr:col>
      <xdr:colOff>1022106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C666A3AA-D5F0-4209-A20F-FEEA8C1E9147}"/>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819275"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227868</xdr:colOff>
      <xdr:row>0</xdr:row>
      <xdr:rowOff>14654</xdr:rowOff>
    </xdr:from>
    <xdr:to>
      <xdr:col>4</xdr:col>
      <xdr:colOff>696789</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A7EDC930-D3C4-49A6-A10C-F7063E8F5C7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52118"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283552</xdr:colOff>
      <xdr:row>0</xdr:row>
      <xdr:rowOff>0</xdr:rowOff>
    </xdr:from>
    <xdr:to>
      <xdr:col>6</xdr:col>
      <xdr:colOff>679205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B3058BD7-CB14-4343-BDA2-872B0E98402D}"/>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036652"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999390</xdr:colOff>
      <xdr:row>0</xdr:row>
      <xdr:rowOff>14654</xdr:rowOff>
    </xdr:from>
    <xdr:to>
      <xdr:col>8</xdr:col>
      <xdr:colOff>463792</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70ECE280-6D7D-4E45-8229-E3DB8C9ACAC9}"/>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866915"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285750</xdr:colOff>
      <xdr:row>1</xdr:row>
      <xdr:rowOff>9525</xdr:rowOff>
    </xdr:from>
    <xdr:to>
      <xdr:col>5</xdr:col>
      <xdr:colOff>107017</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EF977CA1-43C5-44AE-ABAC-62539DEEA38A}"/>
            </a:ext>
          </a:extLst>
        </xdr:cNvPr>
        <xdr:cNvSpPr/>
      </xdr:nvSpPr>
      <xdr:spPr>
        <a:xfrm>
          <a:off x="269557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5</xdr:col>
      <xdr:colOff>116108</xdr:colOff>
      <xdr:row>1</xdr:row>
      <xdr:rowOff>9525</xdr:rowOff>
    </xdr:from>
    <xdr:to>
      <xdr:col>6</xdr:col>
      <xdr:colOff>326524</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52C076A9-14F6-49A9-8F92-AC81051918E8}"/>
            </a:ext>
          </a:extLst>
        </xdr:cNvPr>
        <xdr:cNvSpPr/>
      </xdr:nvSpPr>
      <xdr:spPr>
        <a:xfrm>
          <a:off x="4754783"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6</xdr:col>
      <xdr:colOff>336050</xdr:colOff>
      <xdr:row>1</xdr:row>
      <xdr:rowOff>9525</xdr:rowOff>
    </xdr:from>
    <xdr:to>
      <xdr:col>7</xdr:col>
      <xdr:colOff>373284</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D048E6AC-CE15-414A-8857-57638C857F2E}"/>
            </a:ext>
          </a:extLst>
        </xdr:cNvPr>
        <xdr:cNvSpPr/>
      </xdr:nvSpPr>
      <xdr:spPr>
        <a:xfrm>
          <a:off x="6089150"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7</xdr:col>
      <xdr:colOff>392767</xdr:colOff>
      <xdr:row>1</xdr:row>
      <xdr:rowOff>9525</xdr:rowOff>
    </xdr:from>
    <xdr:to>
      <xdr:col>8</xdr:col>
      <xdr:colOff>1040467</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26C850F0-DC47-457C-8ADD-1EEAE2810A01}"/>
            </a:ext>
          </a:extLst>
        </xdr:cNvPr>
        <xdr:cNvSpPr/>
      </xdr:nvSpPr>
      <xdr:spPr>
        <a:xfrm>
          <a:off x="7260292" y="504825"/>
          <a:ext cx="17621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tx1"/>
              </a:solidFill>
              <a:latin typeface="CALIBRI"/>
              <a:cs typeface="CALIBRI"/>
            </a:rPr>
            <a:pPr algn="ctr"/>
            <a:t>2.4. Seguimiento de KPI´s</a:t>
          </a:fld>
          <a:endParaRPr lang="en-US" sz="2400" b="1">
            <a:solidFill>
              <a:schemeClr val="tx1"/>
            </a:solidFill>
          </a:endParaRPr>
        </a:p>
      </xdr:txBody>
    </xdr:sp>
    <xdr:clientData/>
  </xdr:twoCellAnchor>
  <xdr:twoCellAnchor>
    <xdr:from>
      <xdr:col>8</xdr:col>
      <xdr:colOff>1059517</xdr:colOff>
      <xdr:row>1</xdr:row>
      <xdr:rowOff>9525</xdr:rowOff>
    </xdr:from>
    <xdr:to>
      <xdr:col>10</xdr:col>
      <xdr:colOff>287992</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1CE7D679-14E8-4AD2-BB29-578E1822207D}"/>
            </a:ext>
          </a:extLst>
        </xdr:cNvPr>
        <xdr:cNvSpPr/>
      </xdr:nvSpPr>
      <xdr:spPr>
        <a:xfrm>
          <a:off x="9041467"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7</xdr:col>
      <xdr:colOff>374112</xdr:colOff>
      <xdr:row>2</xdr:row>
      <xdr:rowOff>66675</xdr:rowOff>
    </xdr:from>
    <xdr:to>
      <xdr:col>8</xdr:col>
      <xdr:colOff>464088</xdr:colOff>
      <xdr:row>3</xdr:row>
      <xdr:rowOff>58516</xdr:rowOff>
    </xdr:to>
    <xdr:sp macro="" textlink="'KPI1'!B10">
      <xdr:nvSpPr>
        <xdr:cNvPr id="21" name="Rectángulo 20">
          <a:hlinkClick xmlns:r="http://schemas.openxmlformats.org/officeDocument/2006/relationships" r:id="rId12"/>
          <a:extLst>
            <a:ext uri="{FF2B5EF4-FFF2-40B4-BE49-F238E27FC236}">
              <a16:creationId xmlns:a16="http://schemas.microsoft.com/office/drawing/2014/main" id="{DB6CD4B3-999D-4656-B611-462892392750}"/>
            </a:ext>
          </a:extLst>
        </xdr:cNvPr>
        <xdr:cNvSpPr/>
      </xdr:nvSpPr>
      <xdr:spPr>
        <a:xfrm>
          <a:off x="7241637" y="876300"/>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E08AC93-CA1B-48A2-A403-CF85D722B6C7}" type="TxLink">
            <a:rPr lang="en-US" sz="1200" b="1" i="0" u="none" strike="noStrike">
              <a:solidFill>
                <a:schemeClr val="tx1"/>
              </a:solidFill>
              <a:latin typeface="Calibri"/>
              <a:cs typeface="Calibri"/>
            </a:rPr>
            <a:pPr algn="ctr"/>
            <a:t>Meta 1</a:t>
          </a:fld>
          <a:endParaRPr lang="en-US">
            <a:solidFill>
              <a:schemeClr val="tx1"/>
            </a:solidFill>
          </a:endParaRPr>
        </a:p>
      </xdr:txBody>
    </xdr:sp>
    <xdr:clientData/>
  </xdr:twoCellAnchor>
  <xdr:twoCellAnchor>
    <xdr:from>
      <xdr:col>8</xdr:col>
      <xdr:colOff>516987</xdr:colOff>
      <xdr:row>2</xdr:row>
      <xdr:rowOff>66675</xdr:rowOff>
    </xdr:from>
    <xdr:to>
      <xdr:col>9</xdr:col>
      <xdr:colOff>606963</xdr:colOff>
      <xdr:row>3</xdr:row>
      <xdr:rowOff>58516</xdr:rowOff>
    </xdr:to>
    <xdr:sp macro="" textlink="'KPI1'!C10">
      <xdr:nvSpPr>
        <xdr:cNvPr id="22" name="Rectángulo 21">
          <a:hlinkClick xmlns:r="http://schemas.openxmlformats.org/officeDocument/2006/relationships" r:id="rId14"/>
          <a:extLst>
            <a:ext uri="{FF2B5EF4-FFF2-40B4-BE49-F238E27FC236}">
              <a16:creationId xmlns:a16="http://schemas.microsoft.com/office/drawing/2014/main" id="{64828851-BA03-446D-A968-AE6AA78273F0}"/>
            </a:ext>
          </a:extLst>
        </xdr:cNvPr>
        <xdr:cNvSpPr/>
      </xdr:nvSpPr>
      <xdr:spPr>
        <a:xfrm>
          <a:off x="8498937"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177B750-F34C-4CC8-A785-4CA608A21F13}" type="TxLink">
            <a:rPr lang="en-US" sz="1200" b="1" i="0" u="none" strike="noStrike">
              <a:solidFill>
                <a:srgbClr val="FFFFFF"/>
              </a:solidFill>
              <a:latin typeface="Calibri"/>
              <a:cs typeface="Calibri"/>
            </a:rPr>
            <a:pPr algn="ctr"/>
            <a:t>Meta 2</a:t>
          </a:fld>
          <a:endParaRPr lang="en-US">
            <a:solidFill>
              <a:schemeClr val="bg1"/>
            </a:solidFill>
          </a:endParaRPr>
        </a:p>
      </xdr:txBody>
    </xdr:sp>
    <xdr:clientData/>
  </xdr:twoCellAnchor>
  <xdr:twoCellAnchor>
    <xdr:from>
      <xdr:col>9</xdr:col>
      <xdr:colOff>659862</xdr:colOff>
      <xdr:row>2</xdr:row>
      <xdr:rowOff>66675</xdr:rowOff>
    </xdr:from>
    <xdr:to>
      <xdr:col>10</xdr:col>
      <xdr:colOff>749838</xdr:colOff>
      <xdr:row>3</xdr:row>
      <xdr:rowOff>58516</xdr:rowOff>
    </xdr:to>
    <xdr:sp macro="" textlink="'KPI1'!D10">
      <xdr:nvSpPr>
        <xdr:cNvPr id="23" name="Rectángulo 22">
          <a:hlinkClick xmlns:r="http://schemas.openxmlformats.org/officeDocument/2006/relationships" r:id="rId15"/>
          <a:extLst>
            <a:ext uri="{FF2B5EF4-FFF2-40B4-BE49-F238E27FC236}">
              <a16:creationId xmlns:a16="http://schemas.microsoft.com/office/drawing/2014/main" id="{5FD085CF-A6E8-4EE1-98AA-C9F62CBA02CA}"/>
            </a:ext>
          </a:extLst>
        </xdr:cNvPr>
        <xdr:cNvSpPr/>
      </xdr:nvSpPr>
      <xdr:spPr>
        <a:xfrm>
          <a:off x="9756237"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D9D04C0F-2073-4CCA-ADC6-0BE4478624FB}" type="TxLink">
            <a:rPr lang="en-US" sz="1200" b="1" i="0" u="none" strike="noStrike">
              <a:solidFill>
                <a:srgbClr val="FFFFFF"/>
              </a:solidFill>
              <a:latin typeface="Calibri"/>
              <a:cs typeface="Calibri"/>
            </a:rPr>
            <a:pPr algn="ctr"/>
            <a:t>Meta 3</a:t>
          </a:fld>
          <a:endParaRPr lang="en-US" sz="1200" b="1" i="0" u="none" strike="noStrike">
            <a:solidFill>
              <a:schemeClr val="bg1"/>
            </a:solidFill>
            <a:latin typeface="Calibri"/>
            <a:cs typeface="Calibri"/>
          </a:endParaRPr>
        </a:p>
      </xdr:txBody>
    </xdr:sp>
    <xdr:clientData/>
  </xdr:twoCellAnchor>
  <xdr:twoCellAnchor>
    <xdr:from>
      <xdr:col>10</xdr:col>
      <xdr:colOff>802737</xdr:colOff>
      <xdr:row>2</xdr:row>
      <xdr:rowOff>66675</xdr:rowOff>
    </xdr:from>
    <xdr:to>
      <xdr:col>11</xdr:col>
      <xdr:colOff>892713</xdr:colOff>
      <xdr:row>3</xdr:row>
      <xdr:rowOff>58516</xdr:rowOff>
    </xdr:to>
    <xdr:sp macro="" textlink="'KPI1'!E10">
      <xdr:nvSpPr>
        <xdr:cNvPr id="24" name="Rectángulo 23">
          <a:hlinkClick xmlns:r="http://schemas.openxmlformats.org/officeDocument/2006/relationships" r:id="rId16"/>
          <a:extLst>
            <a:ext uri="{FF2B5EF4-FFF2-40B4-BE49-F238E27FC236}">
              <a16:creationId xmlns:a16="http://schemas.microsoft.com/office/drawing/2014/main" id="{029C4786-6E45-4AC9-995E-98AC266C8354}"/>
            </a:ext>
          </a:extLst>
        </xdr:cNvPr>
        <xdr:cNvSpPr/>
      </xdr:nvSpPr>
      <xdr:spPr>
        <a:xfrm>
          <a:off x="11013537"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92C1483-92C6-49F1-873F-6CB8A3E0AC99}" type="TxLink">
            <a:rPr lang="en-US" sz="1200" b="1" i="0" u="none" strike="noStrike">
              <a:solidFill>
                <a:srgbClr val="FFFFFF"/>
              </a:solidFill>
              <a:latin typeface="Calibri"/>
              <a:cs typeface="Calibri"/>
            </a:rPr>
            <a:pPr algn="ctr"/>
            <a:t>Meta 4</a:t>
          </a:fld>
          <a:endParaRPr lang="en-US" sz="1200" b="1" i="0" u="none" strike="noStrike">
            <a:solidFill>
              <a:schemeClr val="bg1"/>
            </a:solidFill>
            <a:latin typeface="Calibri"/>
            <a:cs typeface="Calibri"/>
          </a:endParaRPr>
        </a:p>
      </xdr:txBody>
    </xdr:sp>
    <xdr:clientData/>
  </xdr:twoCellAnchor>
  <xdr:twoCellAnchor>
    <xdr:from>
      <xdr:col>11</xdr:col>
      <xdr:colOff>945612</xdr:colOff>
      <xdr:row>2</xdr:row>
      <xdr:rowOff>66675</xdr:rowOff>
    </xdr:from>
    <xdr:to>
      <xdr:col>12</xdr:col>
      <xdr:colOff>1035588</xdr:colOff>
      <xdr:row>3</xdr:row>
      <xdr:rowOff>58516</xdr:rowOff>
    </xdr:to>
    <xdr:sp macro="" textlink="'KPI1'!F10">
      <xdr:nvSpPr>
        <xdr:cNvPr id="25" name="Rectángulo 24">
          <a:hlinkClick xmlns:r="http://schemas.openxmlformats.org/officeDocument/2006/relationships" r:id="rId17"/>
          <a:extLst>
            <a:ext uri="{FF2B5EF4-FFF2-40B4-BE49-F238E27FC236}">
              <a16:creationId xmlns:a16="http://schemas.microsoft.com/office/drawing/2014/main" id="{ACD3F284-F7A2-45C2-95FA-28FD2DFE5CE7}"/>
            </a:ext>
          </a:extLst>
        </xdr:cNvPr>
        <xdr:cNvSpPr/>
      </xdr:nvSpPr>
      <xdr:spPr>
        <a:xfrm>
          <a:off x="12270837"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CFF8DB2-64C1-4F64-BC52-26834C2805B3}" type="TxLink">
            <a:rPr lang="en-US" sz="1200" b="1" i="0" u="none" strike="noStrike">
              <a:solidFill>
                <a:srgbClr val="FFFFFF"/>
              </a:solidFill>
              <a:latin typeface="Calibri"/>
              <a:cs typeface="Calibri"/>
            </a:rPr>
            <a:pPr algn="ctr"/>
            <a:t>Meta 5</a:t>
          </a:fld>
          <a:endParaRPr lang="en-US" sz="1200" b="1" i="0" u="none" strike="noStrike">
            <a:solidFill>
              <a:schemeClr val="bg1"/>
            </a:solidFill>
            <a:latin typeface="Calibri"/>
            <a:cs typeface="Calibri"/>
          </a:endParaRPr>
        </a:p>
      </xdr:txBody>
    </xdr:sp>
    <xdr:clientData/>
  </xdr:twoCellAnchor>
  <xdr:twoCellAnchor>
    <xdr:from>
      <xdr:col>12</xdr:col>
      <xdr:colOff>1088487</xdr:colOff>
      <xdr:row>2</xdr:row>
      <xdr:rowOff>66675</xdr:rowOff>
    </xdr:from>
    <xdr:to>
      <xdr:col>14</xdr:col>
      <xdr:colOff>64038</xdr:colOff>
      <xdr:row>3</xdr:row>
      <xdr:rowOff>58516</xdr:rowOff>
    </xdr:to>
    <xdr:sp macro="" textlink="'KPI1'!G10">
      <xdr:nvSpPr>
        <xdr:cNvPr id="26" name="Rectángulo 25">
          <a:hlinkClick xmlns:r="http://schemas.openxmlformats.org/officeDocument/2006/relationships" r:id="rId18"/>
          <a:extLst>
            <a:ext uri="{FF2B5EF4-FFF2-40B4-BE49-F238E27FC236}">
              <a16:creationId xmlns:a16="http://schemas.microsoft.com/office/drawing/2014/main" id="{EF111F13-5E88-44A0-9C95-B5F945E8552C}"/>
            </a:ext>
          </a:extLst>
        </xdr:cNvPr>
        <xdr:cNvSpPr/>
      </xdr:nvSpPr>
      <xdr:spPr>
        <a:xfrm>
          <a:off x="13528137"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DC6313-00AD-443A-81B4-37D8EDCD0483}" type="TxLink">
            <a:rPr lang="en-US" sz="1200" b="1" i="0" u="none" strike="noStrike">
              <a:solidFill>
                <a:srgbClr val="FFFFFF"/>
              </a:solidFill>
              <a:latin typeface="Calibri"/>
              <a:cs typeface="Calibri"/>
            </a:rPr>
            <a:pPr algn="ctr"/>
            <a:t>Meta 6</a:t>
          </a:fld>
          <a:endParaRPr lang="en-US" sz="1200" b="1" i="0" u="none" strike="noStrike">
            <a:solidFill>
              <a:schemeClr val="bg1"/>
            </a:solidFill>
            <a:latin typeface="Calibri"/>
            <a:cs typeface="Calibri"/>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2</xdr:col>
      <xdr:colOff>523875</xdr:colOff>
      <xdr:row>0</xdr:row>
      <xdr:rowOff>0</xdr:rowOff>
    </xdr:from>
    <xdr:to>
      <xdr:col>4</xdr:col>
      <xdr:colOff>154599</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5D7FE1C7-1121-4B0A-A3B0-B65A1BCD1999}"/>
            </a:ext>
          </a:extLst>
        </xdr:cNvPr>
        <xdr:cNvSpPr txBox="1"/>
      </xdr:nvSpPr>
      <xdr:spPr>
        <a:xfrm>
          <a:off x="1819275"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4</xdr:col>
      <xdr:colOff>205887</xdr:colOff>
      <xdr:row>0</xdr:row>
      <xdr:rowOff>0</xdr:rowOff>
    </xdr:from>
    <xdr:to>
      <xdr:col>6</xdr:col>
      <xdr:colOff>217610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8102C0B7-0852-4FB6-B187-4116443E6FC1}"/>
            </a:ext>
          </a:extLst>
        </xdr:cNvPr>
        <xdr:cNvSpPr txBox="1"/>
      </xdr:nvSpPr>
      <xdr:spPr>
        <a:xfrm>
          <a:off x="3730137"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6</xdr:col>
      <xdr:colOff>263495</xdr:colOff>
      <xdr:row>0</xdr:row>
      <xdr:rowOff>0</xdr:rowOff>
    </xdr:from>
    <xdr:to>
      <xdr:col>7</xdr:col>
      <xdr:colOff>940777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7D8A7B42-FF4A-44ED-8BAD-728A07312D2B}"/>
            </a:ext>
          </a:extLst>
        </xdr:cNvPr>
        <xdr:cNvSpPr txBox="1"/>
      </xdr:nvSpPr>
      <xdr:spPr>
        <a:xfrm>
          <a:off x="6016595"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7</xdr:col>
      <xdr:colOff>984186</xdr:colOff>
      <xdr:row>0</xdr:row>
      <xdr:rowOff>0</xdr:rowOff>
    </xdr:from>
    <xdr:to>
      <xdr:col>9</xdr:col>
      <xdr:colOff>747343</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1EFC53FB-48F8-4FE3-BC19-CC7983DD9335}"/>
            </a:ext>
          </a:extLst>
        </xdr:cNvPr>
        <xdr:cNvSpPr txBox="1"/>
      </xdr:nvSpPr>
      <xdr:spPr>
        <a:xfrm>
          <a:off x="7851711"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523875</xdr:colOff>
      <xdr:row>0</xdr:row>
      <xdr:rowOff>0</xdr:rowOff>
    </xdr:from>
    <xdr:to>
      <xdr:col>2</xdr:col>
      <xdr:colOff>1022106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6FD28380-E16F-4A62-9B26-AEA2D83FDC92}"/>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819275"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227868</xdr:colOff>
      <xdr:row>0</xdr:row>
      <xdr:rowOff>14654</xdr:rowOff>
    </xdr:from>
    <xdr:to>
      <xdr:col>4</xdr:col>
      <xdr:colOff>696789</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4FBAE4BD-1FD2-4F07-A8BB-D5CA5B3758C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52118"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283552</xdr:colOff>
      <xdr:row>0</xdr:row>
      <xdr:rowOff>0</xdr:rowOff>
    </xdr:from>
    <xdr:to>
      <xdr:col>6</xdr:col>
      <xdr:colOff>679205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E7646FFA-ADA5-4F50-BE47-2D9D559314DA}"/>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036652"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999390</xdr:colOff>
      <xdr:row>0</xdr:row>
      <xdr:rowOff>14654</xdr:rowOff>
    </xdr:from>
    <xdr:to>
      <xdr:col>8</xdr:col>
      <xdr:colOff>463792</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9CE4B812-EC5A-419B-A60D-818DEDA93FB2}"/>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866915"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276225</xdr:colOff>
      <xdr:row>1</xdr:row>
      <xdr:rowOff>9525</xdr:rowOff>
    </xdr:from>
    <xdr:to>
      <xdr:col>5</xdr:col>
      <xdr:colOff>97492</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2D07176A-8F2D-4563-8BAA-F1028EB44BC7}"/>
            </a:ext>
          </a:extLst>
        </xdr:cNvPr>
        <xdr:cNvSpPr/>
      </xdr:nvSpPr>
      <xdr:spPr>
        <a:xfrm>
          <a:off x="2686050"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5</xdr:col>
      <xdr:colOff>106583</xdr:colOff>
      <xdr:row>1</xdr:row>
      <xdr:rowOff>9525</xdr:rowOff>
    </xdr:from>
    <xdr:to>
      <xdr:col>6</xdr:col>
      <xdr:colOff>316999</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56E5B7D8-571B-497A-8B65-F47FAE79EAFB}"/>
            </a:ext>
          </a:extLst>
        </xdr:cNvPr>
        <xdr:cNvSpPr/>
      </xdr:nvSpPr>
      <xdr:spPr>
        <a:xfrm>
          <a:off x="4745258"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6</xdr:col>
      <xdr:colOff>326525</xdr:colOff>
      <xdr:row>1</xdr:row>
      <xdr:rowOff>9525</xdr:rowOff>
    </xdr:from>
    <xdr:to>
      <xdr:col>7</xdr:col>
      <xdr:colOff>363759</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4165068F-0B39-43C9-927C-FA789043657C}"/>
            </a:ext>
          </a:extLst>
        </xdr:cNvPr>
        <xdr:cNvSpPr/>
      </xdr:nvSpPr>
      <xdr:spPr>
        <a:xfrm>
          <a:off x="6079625"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7</xdr:col>
      <xdr:colOff>383242</xdr:colOff>
      <xdr:row>1</xdr:row>
      <xdr:rowOff>9525</xdr:rowOff>
    </xdr:from>
    <xdr:to>
      <xdr:col>8</xdr:col>
      <xdr:colOff>1030942</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83A8AD99-9491-4CD2-B457-093E796F29A5}"/>
            </a:ext>
          </a:extLst>
        </xdr:cNvPr>
        <xdr:cNvSpPr/>
      </xdr:nvSpPr>
      <xdr:spPr>
        <a:xfrm>
          <a:off x="7250767" y="504825"/>
          <a:ext cx="17621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tx1"/>
              </a:solidFill>
              <a:latin typeface="CALIBRI"/>
              <a:cs typeface="CALIBRI"/>
            </a:rPr>
            <a:pPr algn="ctr"/>
            <a:t>2.4. Seguimiento de KPI´s</a:t>
          </a:fld>
          <a:endParaRPr lang="en-US" sz="2400" b="1">
            <a:solidFill>
              <a:schemeClr val="tx1"/>
            </a:solidFill>
          </a:endParaRPr>
        </a:p>
      </xdr:txBody>
    </xdr:sp>
    <xdr:clientData/>
  </xdr:twoCellAnchor>
  <xdr:twoCellAnchor>
    <xdr:from>
      <xdr:col>8</xdr:col>
      <xdr:colOff>1049992</xdr:colOff>
      <xdr:row>1</xdr:row>
      <xdr:rowOff>9525</xdr:rowOff>
    </xdr:from>
    <xdr:to>
      <xdr:col>10</xdr:col>
      <xdr:colOff>278467</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5D23AB04-EEC9-4548-A8F9-69C1B947922D}"/>
            </a:ext>
          </a:extLst>
        </xdr:cNvPr>
        <xdr:cNvSpPr/>
      </xdr:nvSpPr>
      <xdr:spPr>
        <a:xfrm>
          <a:off x="9031942"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7</xdr:col>
      <xdr:colOff>371475</xdr:colOff>
      <xdr:row>2</xdr:row>
      <xdr:rowOff>85725</xdr:rowOff>
    </xdr:from>
    <xdr:to>
      <xdr:col>8</xdr:col>
      <xdr:colOff>461451</xdr:colOff>
      <xdr:row>3</xdr:row>
      <xdr:rowOff>77566</xdr:rowOff>
    </xdr:to>
    <xdr:sp macro="" textlink="'KPI1'!B10">
      <xdr:nvSpPr>
        <xdr:cNvPr id="15" name="Rectángulo 14">
          <a:hlinkClick xmlns:r="http://schemas.openxmlformats.org/officeDocument/2006/relationships" r:id="rId12"/>
          <a:extLst>
            <a:ext uri="{FF2B5EF4-FFF2-40B4-BE49-F238E27FC236}">
              <a16:creationId xmlns:a16="http://schemas.microsoft.com/office/drawing/2014/main" id="{C293D7C3-CC1B-4FC1-939C-501347A78F27}"/>
            </a:ext>
          </a:extLst>
        </xdr:cNvPr>
        <xdr:cNvSpPr/>
      </xdr:nvSpPr>
      <xdr:spPr>
        <a:xfrm>
          <a:off x="7239000"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E08AC93-CA1B-48A2-A403-CF85D722B6C7}" type="TxLink">
            <a:rPr lang="en-US" sz="1200" b="1" i="0" u="none" strike="noStrike">
              <a:solidFill>
                <a:schemeClr val="bg1"/>
              </a:solidFill>
              <a:latin typeface="Calibri"/>
              <a:cs typeface="Calibri"/>
            </a:rPr>
            <a:pPr algn="ctr"/>
            <a:t>Meta 1</a:t>
          </a:fld>
          <a:endParaRPr lang="en-US">
            <a:solidFill>
              <a:schemeClr val="bg1"/>
            </a:solidFill>
          </a:endParaRPr>
        </a:p>
      </xdr:txBody>
    </xdr:sp>
    <xdr:clientData/>
  </xdr:twoCellAnchor>
  <xdr:twoCellAnchor>
    <xdr:from>
      <xdr:col>8</xdr:col>
      <xdr:colOff>514350</xdr:colOff>
      <xdr:row>2</xdr:row>
      <xdr:rowOff>85725</xdr:rowOff>
    </xdr:from>
    <xdr:to>
      <xdr:col>9</xdr:col>
      <xdr:colOff>604326</xdr:colOff>
      <xdr:row>3</xdr:row>
      <xdr:rowOff>77566</xdr:rowOff>
    </xdr:to>
    <xdr:sp macro="" textlink="'KPI1'!C10">
      <xdr:nvSpPr>
        <xdr:cNvPr id="16" name="Rectángulo 15">
          <a:hlinkClick xmlns:r="http://schemas.openxmlformats.org/officeDocument/2006/relationships" r:id="rId14"/>
          <a:extLst>
            <a:ext uri="{FF2B5EF4-FFF2-40B4-BE49-F238E27FC236}">
              <a16:creationId xmlns:a16="http://schemas.microsoft.com/office/drawing/2014/main" id="{5455ED3C-55C4-41B2-9C34-14639CF8CCB3}"/>
            </a:ext>
          </a:extLst>
        </xdr:cNvPr>
        <xdr:cNvSpPr/>
      </xdr:nvSpPr>
      <xdr:spPr>
        <a:xfrm>
          <a:off x="8496300" y="895350"/>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177B750-F34C-4CC8-A785-4CA608A21F13}" type="TxLink">
            <a:rPr lang="en-US" sz="1200" b="1" i="0" u="none" strike="noStrike">
              <a:solidFill>
                <a:schemeClr val="tx1"/>
              </a:solidFill>
              <a:latin typeface="Calibri"/>
              <a:cs typeface="Calibri"/>
            </a:rPr>
            <a:pPr algn="ctr"/>
            <a:t>Meta 2</a:t>
          </a:fld>
          <a:endParaRPr lang="en-US">
            <a:solidFill>
              <a:schemeClr val="tx1"/>
            </a:solidFill>
          </a:endParaRPr>
        </a:p>
      </xdr:txBody>
    </xdr:sp>
    <xdr:clientData/>
  </xdr:twoCellAnchor>
  <xdr:twoCellAnchor>
    <xdr:from>
      <xdr:col>9</xdr:col>
      <xdr:colOff>657225</xdr:colOff>
      <xdr:row>2</xdr:row>
      <xdr:rowOff>85725</xdr:rowOff>
    </xdr:from>
    <xdr:to>
      <xdr:col>10</xdr:col>
      <xdr:colOff>747201</xdr:colOff>
      <xdr:row>3</xdr:row>
      <xdr:rowOff>77566</xdr:rowOff>
    </xdr:to>
    <xdr:sp macro="" textlink="'KPI1'!D10">
      <xdr:nvSpPr>
        <xdr:cNvPr id="17" name="Rectángulo 16">
          <a:hlinkClick xmlns:r="http://schemas.openxmlformats.org/officeDocument/2006/relationships" r:id="rId15"/>
          <a:extLst>
            <a:ext uri="{FF2B5EF4-FFF2-40B4-BE49-F238E27FC236}">
              <a16:creationId xmlns:a16="http://schemas.microsoft.com/office/drawing/2014/main" id="{2DB79B0B-FB43-4285-BE2D-EF4EFDC60B30}"/>
            </a:ext>
          </a:extLst>
        </xdr:cNvPr>
        <xdr:cNvSpPr/>
      </xdr:nvSpPr>
      <xdr:spPr>
        <a:xfrm>
          <a:off x="9753600"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D9D04C0F-2073-4CCA-ADC6-0BE4478624FB}" type="TxLink">
            <a:rPr lang="en-US" sz="1200" b="1" i="0" u="none" strike="noStrike">
              <a:solidFill>
                <a:srgbClr val="FFFFFF"/>
              </a:solidFill>
              <a:latin typeface="Calibri"/>
              <a:cs typeface="Calibri"/>
            </a:rPr>
            <a:pPr algn="ctr"/>
            <a:t>Meta 3</a:t>
          </a:fld>
          <a:endParaRPr lang="en-US" sz="1200" b="1" i="0" u="none" strike="noStrike">
            <a:solidFill>
              <a:schemeClr val="bg1"/>
            </a:solidFill>
            <a:latin typeface="Calibri"/>
            <a:cs typeface="Calibri"/>
          </a:endParaRPr>
        </a:p>
      </xdr:txBody>
    </xdr:sp>
    <xdr:clientData/>
  </xdr:twoCellAnchor>
  <xdr:twoCellAnchor>
    <xdr:from>
      <xdr:col>10</xdr:col>
      <xdr:colOff>800100</xdr:colOff>
      <xdr:row>2</xdr:row>
      <xdr:rowOff>85725</xdr:rowOff>
    </xdr:from>
    <xdr:to>
      <xdr:col>11</xdr:col>
      <xdr:colOff>890076</xdr:colOff>
      <xdr:row>3</xdr:row>
      <xdr:rowOff>77566</xdr:rowOff>
    </xdr:to>
    <xdr:sp macro="" textlink="'KPI1'!E10">
      <xdr:nvSpPr>
        <xdr:cNvPr id="18" name="Rectángulo 17">
          <a:hlinkClick xmlns:r="http://schemas.openxmlformats.org/officeDocument/2006/relationships" r:id="rId16"/>
          <a:extLst>
            <a:ext uri="{FF2B5EF4-FFF2-40B4-BE49-F238E27FC236}">
              <a16:creationId xmlns:a16="http://schemas.microsoft.com/office/drawing/2014/main" id="{C89559C4-49E7-4D03-A210-C7ADAD45D903}"/>
            </a:ext>
          </a:extLst>
        </xdr:cNvPr>
        <xdr:cNvSpPr/>
      </xdr:nvSpPr>
      <xdr:spPr>
        <a:xfrm>
          <a:off x="11010900"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92C1483-92C6-49F1-873F-6CB8A3E0AC99}" type="TxLink">
            <a:rPr lang="en-US" sz="1200" b="1" i="0" u="none" strike="noStrike">
              <a:solidFill>
                <a:srgbClr val="FFFFFF"/>
              </a:solidFill>
              <a:latin typeface="Calibri"/>
              <a:cs typeface="Calibri"/>
            </a:rPr>
            <a:pPr algn="ctr"/>
            <a:t>Meta 4</a:t>
          </a:fld>
          <a:endParaRPr lang="en-US" sz="1200" b="1" i="0" u="none" strike="noStrike">
            <a:solidFill>
              <a:schemeClr val="bg1"/>
            </a:solidFill>
            <a:latin typeface="Calibri"/>
            <a:cs typeface="Calibri"/>
          </a:endParaRPr>
        </a:p>
      </xdr:txBody>
    </xdr:sp>
    <xdr:clientData/>
  </xdr:twoCellAnchor>
  <xdr:twoCellAnchor>
    <xdr:from>
      <xdr:col>11</xdr:col>
      <xdr:colOff>942975</xdr:colOff>
      <xdr:row>2</xdr:row>
      <xdr:rowOff>85725</xdr:rowOff>
    </xdr:from>
    <xdr:to>
      <xdr:col>12</xdr:col>
      <xdr:colOff>1032951</xdr:colOff>
      <xdr:row>3</xdr:row>
      <xdr:rowOff>77566</xdr:rowOff>
    </xdr:to>
    <xdr:sp macro="" textlink="'KPI1'!F10">
      <xdr:nvSpPr>
        <xdr:cNvPr id="19" name="Rectángulo 18">
          <a:hlinkClick xmlns:r="http://schemas.openxmlformats.org/officeDocument/2006/relationships" r:id="rId17"/>
          <a:extLst>
            <a:ext uri="{FF2B5EF4-FFF2-40B4-BE49-F238E27FC236}">
              <a16:creationId xmlns:a16="http://schemas.microsoft.com/office/drawing/2014/main" id="{44E5E1AC-237B-418C-BF13-35469D7A9253}"/>
            </a:ext>
          </a:extLst>
        </xdr:cNvPr>
        <xdr:cNvSpPr/>
      </xdr:nvSpPr>
      <xdr:spPr>
        <a:xfrm>
          <a:off x="12268200"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CFF8DB2-64C1-4F64-BC52-26834C2805B3}" type="TxLink">
            <a:rPr lang="en-US" sz="1200" b="1" i="0" u="none" strike="noStrike">
              <a:solidFill>
                <a:srgbClr val="FFFFFF"/>
              </a:solidFill>
              <a:latin typeface="Calibri"/>
              <a:cs typeface="Calibri"/>
            </a:rPr>
            <a:pPr algn="ctr"/>
            <a:t>Meta 5</a:t>
          </a:fld>
          <a:endParaRPr lang="en-US" sz="1200" b="1" i="0" u="none" strike="noStrike">
            <a:solidFill>
              <a:schemeClr val="bg1"/>
            </a:solidFill>
            <a:latin typeface="Calibri"/>
            <a:cs typeface="Calibri"/>
          </a:endParaRPr>
        </a:p>
      </xdr:txBody>
    </xdr:sp>
    <xdr:clientData/>
  </xdr:twoCellAnchor>
  <xdr:twoCellAnchor>
    <xdr:from>
      <xdr:col>12</xdr:col>
      <xdr:colOff>1085850</xdr:colOff>
      <xdr:row>2</xdr:row>
      <xdr:rowOff>85725</xdr:rowOff>
    </xdr:from>
    <xdr:to>
      <xdr:col>14</xdr:col>
      <xdr:colOff>61401</xdr:colOff>
      <xdr:row>3</xdr:row>
      <xdr:rowOff>77566</xdr:rowOff>
    </xdr:to>
    <xdr:sp macro="" textlink="'KPI1'!G10">
      <xdr:nvSpPr>
        <xdr:cNvPr id="20" name="Rectángulo 19">
          <a:hlinkClick xmlns:r="http://schemas.openxmlformats.org/officeDocument/2006/relationships" r:id="rId18"/>
          <a:extLst>
            <a:ext uri="{FF2B5EF4-FFF2-40B4-BE49-F238E27FC236}">
              <a16:creationId xmlns:a16="http://schemas.microsoft.com/office/drawing/2014/main" id="{9FCEBCE5-78B2-4014-A1CD-62476055262A}"/>
            </a:ext>
          </a:extLst>
        </xdr:cNvPr>
        <xdr:cNvSpPr/>
      </xdr:nvSpPr>
      <xdr:spPr>
        <a:xfrm>
          <a:off x="13525500"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DC6313-00AD-443A-81B4-37D8EDCD0483}" type="TxLink">
            <a:rPr lang="en-US" sz="1200" b="1" i="0" u="none" strike="noStrike">
              <a:solidFill>
                <a:srgbClr val="FFFFFF"/>
              </a:solidFill>
              <a:latin typeface="Calibri"/>
              <a:cs typeface="Calibri"/>
            </a:rPr>
            <a:pPr algn="ctr"/>
            <a:t>Meta 6</a:t>
          </a:fld>
          <a:endParaRPr lang="en-US" sz="1200" b="1" i="0" u="none" strike="noStrike">
            <a:solidFill>
              <a:schemeClr val="bg1"/>
            </a:solidFill>
            <a:latin typeface="Calibri"/>
            <a:cs typeface="Calibri"/>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533400</xdr:colOff>
      <xdr:row>0</xdr:row>
      <xdr:rowOff>0</xdr:rowOff>
    </xdr:from>
    <xdr:to>
      <xdr:col>4</xdr:col>
      <xdr:colOff>164124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5CBB786F-F8C6-4D08-8123-DE3E50D7874E}"/>
            </a:ext>
          </a:extLst>
        </xdr:cNvPr>
        <xdr:cNvSpPr txBox="1"/>
      </xdr:nvSpPr>
      <xdr:spPr>
        <a:xfrm>
          <a:off x="18288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4</xdr:col>
      <xdr:colOff>215412</xdr:colOff>
      <xdr:row>0</xdr:row>
      <xdr:rowOff>0</xdr:rowOff>
    </xdr:from>
    <xdr:to>
      <xdr:col>6</xdr:col>
      <xdr:colOff>227135</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8F788CCA-4910-4A09-9239-2E39D7421638}"/>
            </a:ext>
          </a:extLst>
        </xdr:cNvPr>
        <xdr:cNvSpPr txBox="1"/>
      </xdr:nvSpPr>
      <xdr:spPr>
        <a:xfrm>
          <a:off x="373966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6</xdr:col>
      <xdr:colOff>273020</xdr:colOff>
      <xdr:row>0</xdr:row>
      <xdr:rowOff>0</xdr:rowOff>
    </xdr:from>
    <xdr:to>
      <xdr:col>7</xdr:col>
      <xdr:colOff>950302</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8492794C-2825-4957-AD31-44EAFFF15FE5}"/>
            </a:ext>
          </a:extLst>
        </xdr:cNvPr>
        <xdr:cNvSpPr txBox="1"/>
      </xdr:nvSpPr>
      <xdr:spPr>
        <a:xfrm>
          <a:off x="60261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7</xdr:col>
      <xdr:colOff>993711</xdr:colOff>
      <xdr:row>0</xdr:row>
      <xdr:rowOff>0</xdr:rowOff>
    </xdr:from>
    <xdr:to>
      <xdr:col>9</xdr:col>
      <xdr:colOff>756868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90875AF8-E690-40FD-BAEF-0A50972385E9}"/>
            </a:ext>
          </a:extLst>
        </xdr:cNvPr>
        <xdr:cNvSpPr txBox="1"/>
      </xdr:nvSpPr>
      <xdr:spPr>
        <a:xfrm>
          <a:off x="78612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533400</xdr:colOff>
      <xdr:row>0</xdr:row>
      <xdr:rowOff>0</xdr:rowOff>
    </xdr:from>
    <xdr:to>
      <xdr:col>2</xdr:col>
      <xdr:colOff>1031631</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EEBC0B63-DD90-4DE9-8C83-CEB59AC3E897}"/>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8288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237393</xdr:colOff>
      <xdr:row>0</xdr:row>
      <xdr:rowOff>14654</xdr:rowOff>
    </xdr:from>
    <xdr:to>
      <xdr:col>4</xdr:col>
      <xdr:colOff>706314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62E0056F-A6E1-4A1C-87DB-20A4E57B105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616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293077</xdr:colOff>
      <xdr:row>0</xdr:row>
      <xdr:rowOff>0</xdr:rowOff>
    </xdr:from>
    <xdr:to>
      <xdr:col>6</xdr:col>
      <xdr:colOff>688730</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1502AD3A-0700-45A4-A8CF-D3CEC39C3328}"/>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0461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1008915</xdr:colOff>
      <xdr:row>0</xdr:row>
      <xdr:rowOff>14654</xdr:rowOff>
    </xdr:from>
    <xdr:to>
      <xdr:col>8</xdr:col>
      <xdr:colOff>473317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ABADB086-B9EB-4D80-9F84-8617075A1776}"/>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8764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285750</xdr:colOff>
      <xdr:row>1</xdr:row>
      <xdr:rowOff>9525</xdr:rowOff>
    </xdr:from>
    <xdr:to>
      <xdr:col>5</xdr:col>
      <xdr:colOff>107017</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6F3A34E0-2677-4839-A3B6-4852177C4A22}"/>
            </a:ext>
          </a:extLst>
        </xdr:cNvPr>
        <xdr:cNvSpPr/>
      </xdr:nvSpPr>
      <xdr:spPr>
        <a:xfrm>
          <a:off x="269557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5</xdr:col>
      <xdr:colOff>116108</xdr:colOff>
      <xdr:row>1</xdr:row>
      <xdr:rowOff>9525</xdr:rowOff>
    </xdr:from>
    <xdr:to>
      <xdr:col>6</xdr:col>
      <xdr:colOff>326524</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8603B17B-1009-480D-8557-4ABFD406F8DF}"/>
            </a:ext>
          </a:extLst>
        </xdr:cNvPr>
        <xdr:cNvSpPr/>
      </xdr:nvSpPr>
      <xdr:spPr>
        <a:xfrm>
          <a:off x="4754783"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6</xdr:col>
      <xdr:colOff>336050</xdr:colOff>
      <xdr:row>1</xdr:row>
      <xdr:rowOff>9525</xdr:rowOff>
    </xdr:from>
    <xdr:to>
      <xdr:col>7</xdr:col>
      <xdr:colOff>373284</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D15DA00C-AFB5-4D52-86CB-65BDF391656B}"/>
            </a:ext>
          </a:extLst>
        </xdr:cNvPr>
        <xdr:cNvSpPr/>
      </xdr:nvSpPr>
      <xdr:spPr>
        <a:xfrm>
          <a:off x="6089150"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7</xdr:col>
      <xdr:colOff>392767</xdr:colOff>
      <xdr:row>1</xdr:row>
      <xdr:rowOff>9525</xdr:rowOff>
    </xdr:from>
    <xdr:to>
      <xdr:col>8</xdr:col>
      <xdr:colOff>1040467</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7B4C4C65-D9D7-4266-90FD-C5E6291278B1}"/>
            </a:ext>
          </a:extLst>
        </xdr:cNvPr>
        <xdr:cNvSpPr/>
      </xdr:nvSpPr>
      <xdr:spPr>
        <a:xfrm>
          <a:off x="7260292" y="504825"/>
          <a:ext cx="17621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tx1"/>
              </a:solidFill>
              <a:latin typeface="CALIBRI"/>
              <a:cs typeface="CALIBRI"/>
            </a:rPr>
            <a:pPr algn="ctr"/>
            <a:t>2.4. Seguimiento de KPI´s</a:t>
          </a:fld>
          <a:endParaRPr lang="en-US" sz="2400" b="1">
            <a:solidFill>
              <a:schemeClr val="tx1"/>
            </a:solidFill>
          </a:endParaRPr>
        </a:p>
      </xdr:txBody>
    </xdr:sp>
    <xdr:clientData/>
  </xdr:twoCellAnchor>
  <xdr:twoCellAnchor>
    <xdr:from>
      <xdr:col>8</xdr:col>
      <xdr:colOff>1059517</xdr:colOff>
      <xdr:row>1</xdr:row>
      <xdr:rowOff>9525</xdr:rowOff>
    </xdr:from>
    <xdr:to>
      <xdr:col>10</xdr:col>
      <xdr:colOff>287992</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179E64D0-1A9A-4EEF-AA7E-F488EF18EF67}"/>
            </a:ext>
          </a:extLst>
        </xdr:cNvPr>
        <xdr:cNvSpPr/>
      </xdr:nvSpPr>
      <xdr:spPr>
        <a:xfrm>
          <a:off x="9041467"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7</xdr:col>
      <xdr:colOff>381000</xdr:colOff>
      <xdr:row>2</xdr:row>
      <xdr:rowOff>85725</xdr:rowOff>
    </xdr:from>
    <xdr:to>
      <xdr:col>8</xdr:col>
      <xdr:colOff>470976</xdr:colOff>
      <xdr:row>3</xdr:row>
      <xdr:rowOff>77566</xdr:rowOff>
    </xdr:to>
    <xdr:sp macro="" textlink="'KPI1'!B10">
      <xdr:nvSpPr>
        <xdr:cNvPr id="15" name="Rectángulo 14">
          <a:hlinkClick xmlns:r="http://schemas.openxmlformats.org/officeDocument/2006/relationships" r:id="rId12"/>
          <a:extLst>
            <a:ext uri="{FF2B5EF4-FFF2-40B4-BE49-F238E27FC236}">
              <a16:creationId xmlns:a16="http://schemas.microsoft.com/office/drawing/2014/main" id="{EB7E6907-FDD3-40CA-BF1B-947E2B07DF47}"/>
            </a:ext>
          </a:extLst>
        </xdr:cNvPr>
        <xdr:cNvSpPr/>
      </xdr:nvSpPr>
      <xdr:spPr>
        <a:xfrm>
          <a:off x="7248525"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E08AC93-CA1B-48A2-A403-CF85D722B6C7}" type="TxLink">
            <a:rPr lang="en-US" sz="1200" b="1" i="0" u="none" strike="noStrike">
              <a:solidFill>
                <a:schemeClr val="bg1"/>
              </a:solidFill>
              <a:latin typeface="Calibri"/>
              <a:cs typeface="Calibri"/>
            </a:rPr>
            <a:pPr algn="ctr"/>
            <a:t>Meta 1</a:t>
          </a:fld>
          <a:endParaRPr lang="en-US">
            <a:solidFill>
              <a:schemeClr val="bg1"/>
            </a:solidFill>
          </a:endParaRPr>
        </a:p>
      </xdr:txBody>
    </xdr:sp>
    <xdr:clientData/>
  </xdr:twoCellAnchor>
  <xdr:twoCellAnchor>
    <xdr:from>
      <xdr:col>8</xdr:col>
      <xdr:colOff>523875</xdr:colOff>
      <xdr:row>2</xdr:row>
      <xdr:rowOff>85725</xdr:rowOff>
    </xdr:from>
    <xdr:to>
      <xdr:col>9</xdr:col>
      <xdr:colOff>613851</xdr:colOff>
      <xdr:row>3</xdr:row>
      <xdr:rowOff>77566</xdr:rowOff>
    </xdr:to>
    <xdr:sp macro="" textlink="'KPI1'!C10">
      <xdr:nvSpPr>
        <xdr:cNvPr id="16" name="Rectángulo 15">
          <a:hlinkClick xmlns:r="http://schemas.openxmlformats.org/officeDocument/2006/relationships" r:id="rId14"/>
          <a:extLst>
            <a:ext uri="{FF2B5EF4-FFF2-40B4-BE49-F238E27FC236}">
              <a16:creationId xmlns:a16="http://schemas.microsoft.com/office/drawing/2014/main" id="{2E258692-5E08-4F9E-A7BD-3115C5A2E309}"/>
            </a:ext>
          </a:extLst>
        </xdr:cNvPr>
        <xdr:cNvSpPr/>
      </xdr:nvSpPr>
      <xdr:spPr>
        <a:xfrm>
          <a:off x="8505825"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177B750-F34C-4CC8-A785-4CA608A21F13}" type="TxLink">
            <a:rPr lang="en-US" sz="1200" b="1" i="0" u="none" strike="noStrike">
              <a:solidFill>
                <a:srgbClr val="FFFFFF"/>
              </a:solidFill>
              <a:latin typeface="Calibri"/>
              <a:cs typeface="Calibri"/>
            </a:rPr>
            <a:pPr algn="ctr"/>
            <a:t>Meta 2</a:t>
          </a:fld>
          <a:endParaRPr lang="en-US">
            <a:solidFill>
              <a:schemeClr val="bg1"/>
            </a:solidFill>
          </a:endParaRPr>
        </a:p>
      </xdr:txBody>
    </xdr:sp>
    <xdr:clientData/>
  </xdr:twoCellAnchor>
  <xdr:twoCellAnchor>
    <xdr:from>
      <xdr:col>9</xdr:col>
      <xdr:colOff>666750</xdr:colOff>
      <xdr:row>2</xdr:row>
      <xdr:rowOff>85725</xdr:rowOff>
    </xdr:from>
    <xdr:to>
      <xdr:col>10</xdr:col>
      <xdr:colOff>756726</xdr:colOff>
      <xdr:row>3</xdr:row>
      <xdr:rowOff>77566</xdr:rowOff>
    </xdr:to>
    <xdr:sp macro="" textlink="'KPI1'!D10">
      <xdr:nvSpPr>
        <xdr:cNvPr id="17" name="Rectángulo 16">
          <a:hlinkClick xmlns:r="http://schemas.openxmlformats.org/officeDocument/2006/relationships" r:id="rId15"/>
          <a:extLst>
            <a:ext uri="{FF2B5EF4-FFF2-40B4-BE49-F238E27FC236}">
              <a16:creationId xmlns:a16="http://schemas.microsoft.com/office/drawing/2014/main" id="{90C2944F-90BD-42FE-8457-AA19B777C7A4}"/>
            </a:ext>
          </a:extLst>
        </xdr:cNvPr>
        <xdr:cNvSpPr/>
      </xdr:nvSpPr>
      <xdr:spPr>
        <a:xfrm>
          <a:off x="9763125" y="895350"/>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D9D04C0F-2073-4CCA-ADC6-0BE4478624FB}" type="TxLink">
            <a:rPr lang="en-US" sz="1200" b="1" i="0" u="none" strike="noStrike">
              <a:solidFill>
                <a:schemeClr val="tx1"/>
              </a:solidFill>
              <a:latin typeface="Calibri"/>
              <a:cs typeface="Calibri"/>
            </a:rPr>
            <a:pPr algn="ctr"/>
            <a:t>Meta 3</a:t>
          </a:fld>
          <a:endParaRPr lang="en-US" sz="1200" b="1" i="0" u="none" strike="noStrike">
            <a:solidFill>
              <a:schemeClr val="tx1"/>
            </a:solidFill>
            <a:latin typeface="Calibri"/>
            <a:cs typeface="Calibri"/>
          </a:endParaRPr>
        </a:p>
      </xdr:txBody>
    </xdr:sp>
    <xdr:clientData/>
  </xdr:twoCellAnchor>
  <xdr:twoCellAnchor>
    <xdr:from>
      <xdr:col>10</xdr:col>
      <xdr:colOff>809625</xdr:colOff>
      <xdr:row>2</xdr:row>
      <xdr:rowOff>85725</xdr:rowOff>
    </xdr:from>
    <xdr:to>
      <xdr:col>11</xdr:col>
      <xdr:colOff>899601</xdr:colOff>
      <xdr:row>3</xdr:row>
      <xdr:rowOff>77566</xdr:rowOff>
    </xdr:to>
    <xdr:sp macro="" textlink="'KPI1'!E10">
      <xdr:nvSpPr>
        <xdr:cNvPr id="18" name="Rectángulo 17">
          <a:hlinkClick xmlns:r="http://schemas.openxmlformats.org/officeDocument/2006/relationships" r:id="rId16"/>
          <a:extLst>
            <a:ext uri="{FF2B5EF4-FFF2-40B4-BE49-F238E27FC236}">
              <a16:creationId xmlns:a16="http://schemas.microsoft.com/office/drawing/2014/main" id="{9341935E-EE9B-472F-844F-6045B1F6385C}"/>
            </a:ext>
          </a:extLst>
        </xdr:cNvPr>
        <xdr:cNvSpPr/>
      </xdr:nvSpPr>
      <xdr:spPr>
        <a:xfrm>
          <a:off x="11020425"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92C1483-92C6-49F1-873F-6CB8A3E0AC99}" type="TxLink">
            <a:rPr lang="en-US" sz="1200" b="1" i="0" u="none" strike="noStrike">
              <a:solidFill>
                <a:srgbClr val="FFFFFF"/>
              </a:solidFill>
              <a:latin typeface="Calibri"/>
              <a:cs typeface="Calibri"/>
            </a:rPr>
            <a:pPr algn="ctr"/>
            <a:t>Meta 4</a:t>
          </a:fld>
          <a:endParaRPr lang="en-US" sz="1200" b="1" i="0" u="none" strike="noStrike">
            <a:solidFill>
              <a:schemeClr val="bg1"/>
            </a:solidFill>
            <a:latin typeface="Calibri"/>
            <a:cs typeface="Calibri"/>
          </a:endParaRPr>
        </a:p>
      </xdr:txBody>
    </xdr:sp>
    <xdr:clientData/>
  </xdr:twoCellAnchor>
  <xdr:twoCellAnchor>
    <xdr:from>
      <xdr:col>11</xdr:col>
      <xdr:colOff>952500</xdr:colOff>
      <xdr:row>2</xdr:row>
      <xdr:rowOff>85725</xdr:rowOff>
    </xdr:from>
    <xdr:to>
      <xdr:col>12</xdr:col>
      <xdr:colOff>1042476</xdr:colOff>
      <xdr:row>3</xdr:row>
      <xdr:rowOff>77566</xdr:rowOff>
    </xdr:to>
    <xdr:sp macro="" textlink="'KPI1'!F10">
      <xdr:nvSpPr>
        <xdr:cNvPr id="19" name="Rectángulo 18">
          <a:hlinkClick xmlns:r="http://schemas.openxmlformats.org/officeDocument/2006/relationships" r:id="rId17"/>
          <a:extLst>
            <a:ext uri="{FF2B5EF4-FFF2-40B4-BE49-F238E27FC236}">
              <a16:creationId xmlns:a16="http://schemas.microsoft.com/office/drawing/2014/main" id="{1545A214-0546-4136-8F75-487258AAB8FF}"/>
            </a:ext>
          </a:extLst>
        </xdr:cNvPr>
        <xdr:cNvSpPr/>
      </xdr:nvSpPr>
      <xdr:spPr>
        <a:xfrm>
          <a:off x="12277725"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CFF8DB2-64C1-4F64-BC52-26834C2805B3}" type="TxLink">
            <a:rPr lang="en-US" sz="1200" b="1" i="0" u="none" strike="noStrike">
              <a:solidFill>
                <a:srgbClr val="FFFFFF"/>
              </a:solidFill>
              <a:latin typeface="Calibri"/>
              <a:cs typeface="Calibri"/>
            </a:rPr>
            <a:pPr algn="ctr"/>
            <a:t>Meta 5</a:t>
          </a:fld>
          <a:endParaRPr lang="en-US" sz="1200" b="1" i="0" u="none" strike="noStrike">
            <a:solidFill>
              <a:schemeClr val="bg1"/>
            </a:solidFill>
            <a:latin typeface="Calibri"/>
            <a:cs typeface="Calibri"/>
          </a:endParaRPr>
        </a:p>
      </xdr:txBody>
    </xdr:sp>
    <xdr:clientData/>
  </xdr:twoCellAnchor>
  <xdr:twoCellAnchor>
    <xdr:from>
      <xdr:col>12</xdr:col>
      <xdr:colOff>1095375</xdr:colOff>
      <xdr:row>2</xdr:row>
      <xdr:rowOff>85725</xdr:rowOff>
    </xdr:from>
    <xdr:to>
      <xdr:col>14</xdr:col>
      <xdr:colOff>70926</xdr:colOff>
      <xdr:row>3</xdr:row>
      <xdr:rowOff>77566</xdr:rowOff>
    </xdr:to>
    <xdr:sp macro="" textlink="'KPI1'!G10">
      <xdr:nvSpPr>
        <xdr:cNvPr id="20" name="Rectángulo 19">
          <a:hlinkClick xmlns:r="http://schemas.openxmlformats.org/officeDocument/2006/relationships" r:id="rId18"/>
          <a:extLst>
            <a:ext uri="{FF2B5EF4-FFF2-40B4-BE49-F238E27FC236}">
              <a16:creationId xmlns:a16="http://schemas.microsoft.com/office/drawing/2014/main" id="{F4A957D5-A615-4BD8-BBB1-32AC89265359}"/>
            </a:ext>
          </a:extLst>
        </xdr:cNvPr>
        <xdr:cNvSpPr/>
      </xdr:nvSpPr>
      <xdr:spPr>
        <a:xfrm>
          <a:off x="13535025"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DC6313-00AD-443A-81B4-37D8EDCD0483}" type="TxLink">
            <a:rPr lang="en-US" sz="1200" b="1" i="0" u="none" strike="noStrike">
              <a:solidFill>
                <a:srgbClr val="FFFFFF"/>
              </a:solidFill>
              <a:latin typeface="Calibri"/>
              <a:cs typeface="Calibri"/>
            </a:rPr>
            <a:pPr algn="ctr"/>
            <a:t>Meta 6</a:t>
          </a:fld>
          <a:endParaRPr lang="en-US" sz="1200" b="1" i="0" u="none" strike="noStrike">
            <a:solidFill>
              <a:schemeClr val="bg1"/>
            </a:solidFill>
            <a:latin typeface="Calibri"/>
            <a:cs typeface="Calibri"/>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2</xdr:col>
      <xdr:colOff>504825</xdr:colOff>
      <xdr:row>0</xdr:row>
      <xdr:rowOff>0</xdr:rowOff>
    </xdr:from>
    <xdr:to>
      <xdr:col>4</xdr:col>
      <xdr:colOff>135549</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C9C9E3AF-945F-402A-AD0F-1FED97F64097}"/>
            </a:ext>
          </a:extLst>
        </xdr:cNvPr>
        <xdr:cNvSpPr txBox="1"/>
      </xdr:nvSpPr>
      <xdr:spPr>
        <a:xfrm>
          <a:off x="1800225"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4</xdr:col>
      <xdr:colOff>186837</xdr:colOff>
      <xdr:row>0</xdr:row>
      <xdr:rowOff>0</xdr:rowOff>
    </xdr:from>
    <xdr:to>
      <xdr:col>6</xdr:col>
      <xdr:colOff>198560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3AEFA0E4-2181-4C2F-AACE-395878B7BFB6}"/>
            </a:ext>
          </a:extLst>
        </xdr:cNvPr>
        <xdr:cNvSpPr txBox="1"/>
      </xdr:nvSpPr>
      <xdr:spPr>
        <a:xfrm>
          <a:off x="3711087"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6</xdr:col>
      <xdr:colOff>244445</xdr:colOff>
      <xdr:row>0</xdr:row>
      <xdr:rowOff>0</xdr:rowOff>
    </xdr:from>
    <xdr:to>
      <xdr:col>7</xdr:col>
      <xdr:colOff>921727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91D34DBB-4665-44CD-BBF8-9B97922646AB}"/>
            </a:ext>
          </a:extLst>
        </xdr:cNvPr>
        <xdr:cNvSpPr txBox="1"/>
      </xdr:nvSpPr>
      <xdr:spPr>
        <a:xfrm>
          <a:off x="5997545"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7</xdr:col>
      <xdr:colOff>965136</xdr:colOff>
      <xdr:row>0</xdr:row>
      <xdr:rowOff>0</xdr:rowOff>
    </xdr:from>
    <xdr:to>
      <xdr:col>9</xdr:col>
      <xdr:colOff>728293</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8F63C668-A227-4279-82DF-6B8472B83350}"/>
            </a:ext>
          </a:extLst>
        </xdr:cNvPr>
        <xdr:cNvSpPr txBox="1"/>
      </xdr:nvSpPr>
      <xdr:spPr>
        <a:xfrm>
          <a:off x="7832661"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504825</xdr:colOff>
      <xdr:row>0</xdr:row>
      <xdr:rowOff>0</xdr:rowOff>
    </xdr:from>
    <xdr:to>
      <xdr:col>2</xdr:col>
      <xdr:colOff>1003056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F8081531-6CDA-43FC-BB00-1AEC1222DC7D}"/>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800225"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208818</xdr:colOff>
      <xdr:row>0</xdr:row>
      <xdr:rowOff>14654</xdr:rowOff>
    </xdr:from>
    <xdr:to>
      <xdr:col>4</xdr:col>
      <xdr:colOff>677739</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349F8A51-B20D-418A-A065-DBB33FE2C5A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33068"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264502</xdr:colOff>
      <xdr:row>0</xdr:row>
      <xdr:rowOff>0</xdr:rowOff>
    </xdr:from>
    <xdr:to>
      <xdr:col>6</xdr:col>
      <xdr:colOff>660155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9F66F11D-A1AE-45E2-84C6-CC8BCDE788C6}"/>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017602"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980340</xdr:colOff>
      <xdr:row>0</xdr:row>
      <xdr:rowOff>14654</xdr:rowOff>
    </xdr:from>
    <xdr:to>
      <xdr:col>8</xdr:col>
      <xdr:colOff>444742</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3612D421-73FD-4E3D-B320-5E4835376104}"/>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847865"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247650</xdr:colOff>
      <xdr:row>1</xdr:row>
      <xdr:rowOff>9525</xdr:rowOff>
    </xdr:from>
    <xdr:to>
      <xdr:col>5</xdr:col>
      <xdr:colOff>68917</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AC054D66-95F0-4A63-87A3-7394B9FB85F5}"/>
            </a:ext>
          </a:extLst>
        </xdr:cNvPr>
        <xdr:cNvSpPr/>
      </xdr:nvSpPr>
      <xdr:spPr>
        <a:xfrm>
          <a:off x="265747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5</xdr:col>
      <xdr:colOff>78008</xdr:colOff>
      <xdr:row>1</xdr:row>
      <xdr:rowOff>9525</xdr:rowOff>
    </xdr:from>
    <xdr:to>
      <xdr:col>6</xdr:col>
      <xdr:colOff>288424</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CC0CB793-0784-4385-97F5-14AF5738BEAA}"/>
            </a:ext>
          </a:extLst>
        </xdr:cNvPr>
        <xdr:cNvSpPr/>
      </xdr:nvSpPr>
      <xdr:spPr>
        <a:xfrm>
          <a:off x="4716683"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6</xdr:col>
      <xdr:colOff>297950</xdr:colOff>
      <xdr:row>1</xdr:row>
      <xdr:rowOff>9525</xdr:rowOff>
    </xdr:from>
    <xdr:to>
      <xdr:col>7</xdr:col>
      <xdr:colOff>335184</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2B6D574A-FDAF-44B6-86C0-BFB0793EC4E1}"/>
            </a:ext>
          </a:extLst>
        </xdr:cNvPr>
        <xdr:cNvSpPr/>
      </xdr:nvSpPr>
      <xdr:spPr>
        <a:xfrm>
          <a:off x="6051050"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7</xdr:col>
      <xdr:colOff>354667</xdr:colOff>
      <xdr:row>1</xdr:row>
      <xdr:rowOff>9525</xdr:rowOff>
    </xdr:from>
    <xdr:to>
      <xdr:col>8</xdr:col>
      <xdr:colOff>1002367</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FBC8D32B-15B4-4478-A2EF-F5C7E00DE250}"/>
            </a:ext>
          </a:extLst>
        </xdr:cNvPr>
        <xdr:cNvSpPr/>
      </xdr:nvSpPr>
      <xdr:spPr>
        <a:xfrm>
          <a:off x="7222192" y="504825"/>
          <a:ext cx="17621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tx1"/>
              </a:solidFill>
              <a:latin typeface="CALIBRI"/>
              <a:cs typeface="CALIBRI"/>
            </a:rPr>
            <a:pPr algn="ctr"/>
            <a:t>2.4. Seguimiento de KPI´s</a:t>
          </a:fld>
          <a:endParaRPr lang="en-US" sz="2400" b="1">
            <a:solidFill>
              <a:schemeClr val="tx1"/>
            </a:solidFill>
          </a:endParaRPr>
        </a:p>
      </xdr:txBody>
    </xdr:sp>
    <xdr:clientData/>
  </xdr:twoCellAnchor>
  <xdr:twoCellAnchor>
    <xdr:from>
      <xdr:col>8</xdr:col>
      <xdr:colOff>1021417</xdr:colOff>
      <xdr:row>1</xdr:row>
      <xdr:rowOff>9525</xdr:rowOff>
    </xdr:from>
    <xdr:to>
      <xdr:col>10</xdr:col>
      <xdr:colOff>249892</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E8CBC3F8-1597-4C38-8C19-9D3D69E45F81}"/>
            </a:ext>
          </a:extLst>
        </xdr:cNvPr>
        <xdr:cNvSpPr/>
      </xdr:nvSpPr>
      <xdr:spPr>
        <a:xfrm>
          <a:off x="9003367"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7</xdr:col>
      <xdr:colOff>333375</xdr:colOff>
      <xdr:row>2</xdr:row>
      <xdr:rowOff>85725</xdr:rowOff>
    </xdr:from>
    <xdr:to>
      <xdr:col>8</xdr:col>
      <xdr:colOff>423351</xdr:colOff>
      <xdr:row>3</xdr:row>
      <xdr:rowOff>77566</xdr:rowOff>
    </xdr:to>
    <xdr:sp macro="" textlink="'KPI1'!B10">
      <xdr:nvSpPr>
        <xdr:cNvPr id="15" name="Rectángulo 14">
          <a:hlinkClick xmlns:r="http://schemas.openxmlformats.org/officeDocument/2006/relationships" r:id="rId12"/>
          <a:extLst>
            <a:ext uri="{FF2B5EF4-FFF2-40B4-BE49-F238E27FC236}">
              <a16:creationId xmlns:a16="http://schemas.microsoft.com/office/drawing/2014/main" id="{8D7753BD-6430-4368-A789-D2B04BABFCB9}"/>
            </a:ext>
          </a:extLst>
        </xdr:cNvPr>
        <xdr:cNvSpPr/>
      </xdr:nvSpPr>
      <xdr:spPr>
        <a:xfrm>
          <a:off x="7200900"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E08AC93-CA1B-48A2-A403-CF85D722B6C7}" type="TxLink">
            <a:rPr lang="en-US" sz="1200" b="1" i="0" u="none" strike="noStrike">
              <a:solidFill>
                <a:schemeClr val="bg1"/>
              </a:solidFill>
              <a:latin typeface="Calibri"/>
              <a:cs typeface="Calibri"/>
            </a:rPr>
            <a:pPr algn="ctr"/>
            <a:t>Meta 1</a:t>
          </a:fld>
          <a:endParaRPr lang="en-US">
            <a:solidFill>
              <a:schemeClr val="bg1"/>
            </a:solidFill>
          </a:endParaRPr>
        </a:p>
      </xdr:txBody>
    </xdr:sp>
    <xdr:clientData/>
  </xdr:twoCellAnchor>
  <xdr:twoCellAnchor>
    <xdr:from>
      <xdr:col>8</xdr:col>
      <xdr:colOff>476250</xdr:colOff>
      <xdr:row>2</xdr:row>
      <xdr:rowOff>85725</xdr:rowOff>
    </xdr:from>
    <xdr:to>
      <xdr:col>9</xdr:col>
      <xdr:colOff>566226</xdr:colOff>
      <xdr:row>3</xdr:row>
      <xdr:rowOff>77566</xdr:rowOff>
    </xdr:to>
    <xdr:sp macro="" textlink="'KPI1'!C10">
      <xdr:nvSpPr>
        <xdr:cNvPr id="16" name="Rectángulo 15">
          <a:hlinkClick xmlns:r="http://schemas.openxmlformats.org/officeDocument/2006/relationships" r:id="rId14"/>
          <a:extLst>
            <a:ext uri="{FF2B5EF4-FFF2-40B4-BE49-F238E27FC236}">
              <a16:creationId xmlns:a16="http://schemas.microsoft.com/office/drawing/2014/main" id="{07E805AD-F6AF-460B-9861-A9F0B4F14F5C}"/>
            </a:ext>
          </a:extLst>
        </xdr:cNvPr>
        <xdr:cNvSpPr/>
      </xdr:nvSpPr>
      <xdr:spPr>
        <a:xfrm>
          <a:off x="8458200"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177B750-F34C-4CC8-A785-4CA608A21F13}" type="TxLink">
            <a:rPr lang="en-US" sz="1200" b="1" i="0" u="none" strike="noStrike">
              <a:solidFill>
                <a:srgbClr val="FFFFFF"/>
              </a:solidFill>
              <a:latin typeface="Calibri"/>
              <a:cs typeface="Calibri"/>
            </a:rPr>
            <a:pPr algn="ctr"/>
            <a:t>Meta 2</a:t>
          </a:fld>
          <a:endParaRPr lang="en-US">
            <a:solidFill>
              <a:schemeClr val="bg1"/>
            </a:solidFill>
          </a:endParaRPr>
        </a:p>
      </xdr:txBody>
    </xdr:sp>
    <xdr:clientData/>
  </xdr:twoCellAnchor>
  <xdr:twoCellAnchor>
    <xdr:from>
      <xdr:col>9</xdr:col>
      <xdr:colOff>619125</xdr:colOff>
      <xdr:row>2</xdr:row>
      <xdr:rowOff>85725</xdr:rowOff>
    </xdr:from>
    <xdr:to>
      <xdr:col>10</xdr:col>
      <xdr:colOff>709101</xdr:colOff>
      <xdr:row>3</xdr:row>
      <xdr:rowOff>77566</xdr:rowOff>
    </xdr:to>
    <xdr:sp macro="" textlink="'KPI1'!D10">
      <xdr:nvSpPr>
        <xdr:cNvPr id="17" name="Rectángulo 16">
          <a:hlinkClick xmlns:r="http://schemas.openxmlformats.org/officeDocument/2006/relationships" r:id="rId15"/>
          <a:extLst>
            <a:ext uri="{FF2B5EF4-FFF2-40B4-BE49-F238E27FC236}">
              <a16:creationId xmlns:a16="http://schemas.microsoft.com/office/drawing/2014/main" id="{7DE10059-62D6-4BFD-9C14-C825579EDACE}"/>
            </a:ext>
          </a:extLst>
        </xdr:cNvPr>
        <xdr:cNvSpPr/>
      </xdr:nvSpPr>
      <xdr:spPr>
        <a:xfrm>
          <a:off x="9715500"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D9D04C0F-2073-4CCA-ADC6-0BE4478624FB}" type="TxLink">
            <a:rPr lang="en-US" sz="1200" b="1" i="0" u="none" strike="noStrike">
              <a:solidFill>
                <a:srgbClr val="FFFFFF"/>
              </a:solidFill>
              <a:latin typeface="Calibri"/>
              <a:cs typeface="Calibri"/>
            </a:rPr>
            <a:pPr algn="ctr"/>
            <a:t>Meta 3</a:t>
          </a:fld>
          <a:endParaRPr lang="en-US" sz="1200" b="1" i="0" u="none" strike="noStrike">
            <a:solidFill>
              <a:schemeClr val="bg1"/>
            </a:solidFill>
            <a:latin typeface="Calibri"/>
            <a:cs typeface="Calibri"/>
          </a:endParaRPr>
        </a:p>
      </xdr:txBody>
    </xdr:sp>
    <xdr:clientData/>
  </xdr:twoCellAnchor>
  <xdr:twoCellAnchor>
    <xdr:from>
      <xdr:col>10</xdr:col>
      <xdr:colOff>762000</xdr:colOff>
      <xdr:row>2</xdr:row>
      <xdr:rowOff>85725</xdr:rowOff>
    </xdr:from>
    <xdr:to>
      <xdr:col>11</xdr:col>
      <xdr:colOff>851976</xdr:colOff>
      <xdr:row>3</xdr:row>
      <xdr:rowOff>77566</xdr:rowOff>
    </xdr:to>
    <xdr:sp macro="" textlink="'KPI1'!E10">
      <xdr:nvSpPr>
        <xdr:cNvPr id="18" name="Rectángulo 17">
          <a:hlinkClick xmlns:r="http://schemas.openxmlformats.org/officeDocument/2006/relationships" r:id="rId16"/>
          <a:extLst>
            <a:ext uri="{FF2B5EF4-FFF2-40B4-BE49-F238E27FC236}">
              <a16:creationId xmlns:a16="http://schemas.microsoft.com/office/drawing/2014/main" id="{28C43B34-17F7-4F5D-AD28-E67B5D82CCCF}"/>
            </a:ext>
          </a:extLst>
        </xdr:cNvPr>
        <xdr:cNvSpPr/>
      </xdr:nvSpPr>
      <xdr:spPr>
        <a:xfrm>
          <a:off x="10972800" y="895350"/>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92C1483-92C6-49F1-873F-6CB8A3E0AC99}" type="TxLink">
            <a:rPr lang="en-US" sz="1200" b="1" i="0" u="none" strike="noStrike">
              <a:solidFill>
                <a:schemeClr val="tx1"/>
              </a:solidFill>
              <a:latin typeface="Calibri"/>
              <a:cs typeface="Calibri"/>
            </a:rPr>
            <a:pPr algn="ctr"/>
            <a:t>Meta 4</a:t>
          </a:fld>
          <a:endParaRPr lang="en-US" sz="1200" b="1" i="0" u="none" strike="noStrike">
            <a:solidFill>
              <a:schemeClr val="tx1"/>
            </a:solidFill>
            <a:latin typeface="Calibri"/>
            <a:cs typeface="Calibri"/>
          </a:endParaRPr>
        </a:p>
      </xdr:txBody>
    </xdr:sp>
    <xdr:clientData/>
  </xdr:twoCellAnchor>
  <xdr:twoCellAnchor>
    <xdr:from>
      <xdr:col>11</xdr:col>
      <xdr:colOff>904875</xdr:colOff>
      <xdr:row>2</xdr:row>
      <xdr:rowOff>85725</xdr:rowOff>
    </xdr:from>
    <xdr:to>
      <xdr:col>12</xdr:col>
      <xdr:colOff>994851</xdr:colOff>
      <xdr:row>3</xdr:row>
      <xdr:rowOff>77566</xdr:rowOff>
    </xdr:to>
    <xdr:sp macro="" textlink="'KPI1'!F10">
      <xdr:nvSpPr>
        <xdr:cNvPr id="19" name="Rectángulo 18">
          <a:hlinkClick xmlns:r="http://schemas.openxmlformats.org/officeDocument/2006/relationships" r:id="rId17"/>
          <a:extLst>
            <a:ext uri="{FF2B5EF4-FFF2-40B4-BE49-F238E27FC236}">
              <a16:creationId xmlns:a16="http://schemas.microsoft.com/office/drawing/2014/main" id="{8DDDA4F7-721F-49A5-BE0A-CF6851193028}"/>
            </a:ext>
          </a:extLst>
        </xdr:cNvPr>
        <xdr:cNvSpPr/>
      </xdr:nvSpPr>
      <xdr:spPr>
        <a:xfrm>
          <a:off x="12230100"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CFF8DB2-64C1-4F64-BC52-26834C2805B3}" type="TxLink">
            <a:rPr lang="en-US" sz="1200" b="1" i="0" u="none" strike="noStrike">
              <a:solidFill>
                <a:srgbClr val="FFFFFF"/>
              </a:solidFill>
              <a:latin typeface="Calibri"/>
              <a:cs typeface="Calibri"/>
            </a:rPr>
            <a:pPr algn="ctr"/>
            <a:t>Meta 5</a:t>
          </a:fld>
          <a:endParaRPr lang="en-US" sz="1200" b="1" i="0" u="none" strike="noStrike">
            <a:solidFill>
              <a:schemeClr val="bg1"/>
            </a:solidFill>
            <a:latin typeface="Calibri"/>
            <a:cs typeface="Calibri"/>
          </a:endParaRPr>
        </a:p>
      </xdr:txBody>
    </xdr:sp>
    <xdr:clientData/>
  </xdr:twoCellAnchor>
  <xdr:twoCellAnchor>
    <xdr:from>
      <xdr:col>12</xdr:col>
      <xdr:colOff>1047750</xdr:colOff>
      <xdr:row>2</xdr:row>
      <xdr:rowOff>85725</xdr:rowOff>
    </xdr:from>
    <xdr:to>
      <xdr:col>14</xdr:col>
      <xdr:colOff>23301</xdr:colOff>
      <xdr:row>3</xdr:row>
      <xdr:rowOff>77566</xdr:rowOff>
    </xdr:to>
    <xdr:sp macro="" textlink="'KPI1'!G10">
      <xdr:nvSpPr>
        <xdr:cNvPr id="20" name="Rectángulo 19">
          <a:hlinkClick xmlns:r="http://schemas.openxmlformats.org/officeDocument/2006/relationships" r:id="rId18"/>
          <a:extLst>
            <a:ext uri="{FF2B5EF4-FFF2-40B4-BE49-F238E27FC236}">
              <a16:creationId xmlns:a16="http://schemas.microsoft.com/office/drawing/2014/main" id="{CC3A5E49-68BB-4ADC-95C1-746D970C79BA}"/>
            </a:ext>
          </a:extLst>
        </xdr:cNvPr>
        <xdr:cNvSpPr/>
      </xdr:nvSpPr>
      <xdr:spPr>
        <a:xfrm>
          <a:off x="13487400"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DC6313-00AD-443A-81B4-37D8EDCD0483}" type="TxLink">
            <a:rPr lang="en-US" sz="1200" b="1" i="0" u="none" strike="noStrike">
              <a:solidFill>
                <a:srgbClr val="FFFFFF"/>
              </a:solidFill>
              <a:latin typeface="Calibri"/>
              <a:cs typeface="Calibri"/>
            </a:rPr>
            <a:pPr algn="ctr"/>
            <a:t>Meta 6</a:t>
          </a:fld>
          <a:endParaRPr lang="en-US" sz="1200" b="1" i="0" u="none" strike="noStrike">
            <a:solidFill>
              <a:schemeClr val="bg1"/>
            </a:solidFill>
            <a:latin typeface="Calibri"/>
            <a:cs typeface="Calibri"/>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2</xdr:col>
      <xdr:colOff>495300</xdr:colOff>
      <xdr:row>0</xdr:row>
      <xdr:rowOff>0</xdr:rowOff>
    </xdr:from>
    <xdr:to>
      <xdr:col>4</xdr:col>
      <xdr:colOff>126024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C51935AA-E6A3-47BD-9F97-FA80D8118CBB}"/>
            </a:ext>
          </a:extLst>
        </xdr:cNvPr>
        <xdr:cNvSpPr txBox="1"/>
      </xdr:nvSpPr>
      <xdr:spPr>
        <a:xfrm>
          <a:off x="17907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4</xdr:col>
      <xdr:colOff>177312</xdr:colOff>
      <xdr:row>0</xdr:row>
      <xdr:rowOff>0</xdr:rowOff>
    </xdr:from>
    <xdr:to>
      <xdr:col>6</xdr:col>
      <xdr:colOff>189035</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5A7B2C63-09E1-4431-9E7E-9A293C9F9FC8}"/>
            </a:ext>
          </a:extLst>
        </xdr:cNvPr>
        <xdr:cNvSpPr txBox="1"/>
      </xdr:nvSpPr>
      <xdr:spPr>
        <a:xfrm>
          <a:off x="370156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6</xdr:col>
      <xdr:colOff>234920</xdr:colOff>
      <xdr:row>0</xdr:row>
      <xdr:rowOff>0</xdr:rowOff>
    </xdr:from>
    <xdr:to>
      <xdr:col>7</xdr:col>
      <xdr:colOff>912202</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98FADE45-B10E-406D-9C5F-590E34C7FA13}"/>
            </a:ext>
          </a:extLst>
        </xdr:cNvPr>
        <xdr:cNvSpPr txBox="1"/>
      </xdr:nvSpPr>
      <xdr:spPr>
        <a:xfrm>
          <a:off x="59880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7</xdr:col>
      <xdr:colOff>955611</xdr:colOff>
      <xdr:row>0</xdr:row>
      <xdr:rowOff>0</xdr:rowOff>
    </xdr:from>
    <xdr:to>
      <xdr:col>9</xdr:col>
      <xdr:colOff>718768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7038421A-B1C5-41EF-A4E4-6BE18E124160}"/>
            </a:ext>
          </a:extLst>
        </xdr:cNvPr>
        <xdr:cNvSpPr txBox="1"/>
      </xdr:nvSpPr>
      <xdr:spPr>
        <a:xfrm>
          <a:off x="78231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495300</xdr:colOff>
      <xdr:row>0</xdr:row>
      <xdr:rowOff>0</xdr:rowOff>
    </xdr:from>
    <xdr:to>
      <xdr:col>2</xdr:col>
      <xdr:colOff>993531</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23B85349-B8BF-4816-A1A5-036DFDA43E3A}"/>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7907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199293</xdr:colOff>
      <xdr:row>0</xdr:row>
      <xdr:rowOff>14654</xdr:rowOff>
    </xdr:from>
    <xdr:to>
      <xdr:col>4</xdr:col>
      <xdr:colOff>668214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52A5C1EE-C95C-4CF5-8030-BDAF033D9BB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235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254977</xdr:colOff>
      <xdr:row>0</xdr:row>
      <xdr:rowOff>0</xdr:rowOff>
    </xdr:from>
    <xdr:to>
      <xdr:col>6</xdr:col>
      <xdr:colOff>650630</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32F7DF27-3744-4E01-9E8C-E70A1CED9599}"/>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0080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970815</xdr:colOff>
      <xdr:row>0</xdr:row>
      <xdr:rowOff>14654</xdr:rowOff>
    </xdr:from>
    <xdr:to>
      <xdr:col>8</xdr:col>
      <xdr:colOff>435217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B4FB6BFA-FDEE-4F3E-BA59-EBCF61BE7EA5}"/>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8383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257175</xdr:colOff>
      <xdr:row>1</xdr:row>
      <xdr:rowOff>9525</xdr:rowOff>
    </xdr:from>
    <xdr:to>
      <xdr:col>5</xdr:col>
      <xdr:colOff>78442</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33220B7B-5BEE-431E-B7FB-7E77564A9B5A}"/>
            </a:ext>
          </a:extLst>
        </xdr:cNvPr>
        <xdr:cNvSpPr/>
      </xdr:nvSpPr>
      <xdr:spPr>
        <a:xfrm>
          <a:off x="2667000"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5</xdr:col>
      <xdr:colOff>87533</xdr:colOff>
      <xdr:row>1</xdr:row>
      <xdr:rowOff>9525</xdr:rowOff>
    </xdr:from>
    <xdr:to>
      <xdr:col>6</xdr:col>
      <xdr:colOff>297949</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36E0C64B-5A90-4585-8733-E5283250E419}"/>
            </a:ext>
          </a:extLst>
        </xdr:cNvPr>
        <xdr:cNvSpPr/>
      </xdr:nvSpPr>
      <xdr:spPr>
        <a:xfrm>
          <a:off x="4726208"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6</xdr:col>
      <xdr:colOff>307475</xdr:colOff>
      <xdr:row>1</xdr:row>
      <xdr:rowOff>9525</xdr:rowOff>
    </xdr:from>
    <xdr:to>
      <xdr:col>7</xdr:col>
      <xdr:colOff>344709</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F3464B6C-CA71-4374-8391-2D941E0795BB}"/>
            </a:ext>
          </a:extLst>
        </xdr:cNvPr>
        <xdr:cNvSpPr/>
      </xdr:nvSpPr>
      <xdr:spPr>
        <a:xfrm>
          <a:off x="6060575"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7</xdr:col>
      <xdr:colOff>364192</xdr:colOff>
      <xdr:row>1</xdr:row>
      <xdr:rowOff>9525</xdr:rowOff>
    </xdr:from>
    <xdr:to>
      <xdr:col>8</xdr:col>
      <xdr:colOff>1011892</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A6D272E2-CCB4-4C0E-A265-1614C4071A55}"/>
            </a:ext>
          </a:extLst>
        </xdr:cNvPr>
        <xdr:cNvSpPr/>
      </xdr:nvSpPr>
      <xdr:spPr>
        <a:xfrm>
          <a:off x="7231717" y="504825"/>
          <a:ext cx="17621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tx1"/>
              </a:solidFill>
              <a:latin typeface="CALIBRI"/>
              <a:cs typeface="CALIBRI"/>
            </a:rPr>
            <a:pPr algn="ctr"/>
            <a:t>2.4. Seguimiento de KPI´s</a:t>
          </a:fld>
          <a:endParaRPr lang="en-US" sz="2400" b="1">
            <a:solidFill>
              <a:schemeClr val="tx1"/>
            </a:solidFill>
          </a:endParaRPr>
        </a:p>
      </xdr:txBody>
    </xdr:sp>
    <xdr:clientData/>
  </xdr:twoCellAnchor>
  <xdr:twoCellAnchor>
    <xdr:from>
      <xdr:col>8</xdr:col>
      <xdr:colOff>1030942</xdr:colOff>
      <xdr:row>1</xdr:row>
      <xdr:rowOff>9525</xdr:rowOff>
    </xdr:from>
    <xdr:to>
      <xdr:col>10</xdr:col>
      <xdr:colOff>259417</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ED725E41-8527-451A-85A1-2F91E97210CF}"/>
            </a:ext>
          </a:extLst>
        </xdr:cNvPr>
        <xdr:cNvSpPr/>
      </xdr:nvSpPr>
      <xdr:spPr>
        <a:xfrm>
          <a:off x="9012892"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7</xdr:col>
      <xdr:colOff>333375</xdr:colOff>
      <xdr:row>2</xdr:row>
      <xdr:rowOff>66675</xdr:rowOff>
    </xdr:from>
    <xdr:to>
      <xdr:col>8</xdr:col>
      <xdr:colOff>423351</xdr:colOff>
      <xdr:row>3</xdr:row>
      <xdr:rowOff>58516</xdr:rowOff>
    </xdr:to>
    <xdr:sp macro="" textlink="'KPI1'!B10">
      <xdr:nvSpPr>
        <xdr:cNvPr id="15" name="Rectángulo 14">
          <a:hlinkClick xmlns:r="http://schemas.openxmlformats.org/officeDocument/2006/relationships" r:id="rId12"/>
          <a:extLst>
            <a:ext uri="{FF2B5EF4-FFF2-40B4-BE49-F238E27FC236}">
              <a16:creationId xmlns:a16="http://schemas.microsoft.com/office/drawing/2014/main" id="{4770BF53-29F9-4596-8E53-06990BBD9E30}"/>
            </a:ext>
          </a:extLst>
        </xdr:cNvPr>
        <xdr:cNvSpPr/>
      </xdr:nvSpPr>
      <xdr:spPr>
        <a:xfrm>
          <a:off x="7200900"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E08AC93-CA1B-48A2-A403-CF85D722B6C7}" type="TxLink">
            <a:rPr lang="en-US" sz="1200" b="1" i="0" u="none" strike="noStrike">
              <a:solidFill>
                <a:schemeClr val="bg1"/>
              </a:solidFill>
              <a:latin typeface="Calibri"/>
              <a:cs typeface="Calibri"/>
            </a:rPr>
            <a:pPr algn="ctr"/>
            <a:t>Meta 1</a:t>
          </a:fld>
          <a:endParaRPr lang="en-US">
            <a:solidFill>
              <a:schemeClr val="bg1"/>
            </a:solidFill>
          </a:endParaRPr>
        </a:p>
      </xdr:txBody>
    </xdr:sp>
    <xdr:clientData/>
  </xdr:twoCellAnchor>
  <xdr:twoCellAnchor>
    <xdr:from>
      <xdr:col>8</xdr:col>
      <xdr:colOff>476250</xdr:colOff>
      <xdr:row>2</xdr:row>
      <xdr:rowOff>66675</xdr:rowOff>
    </xdr:from>
    <xdr:to>
      <xdr:col>9</xdr:col>
      <xdr:colOff>566226</xdr:colOff>
      <xdr:row>3</xdr:row>
      <xdr:rowOff>58516</xdr:rowOff>
    </xdr:to>
    <xdr:sp macro="" textlink="'KPI1'!C10">
      <xdr:nvSpPr>
        <xdr:cNvPr id="16" name="Rectángulo 15">
          <a:hlinkClick xmlns:r="http://schemas.openxmlformats.org/officeDocument/2006/relationships" r:id="rId14"/>
          <a:extLst>
            <a:ext uri="{FF2B5EF4-FFF2-40B4-BE49-F238E27FC236}">
              <a16:creationId xmlns:a16="http://schemas.microsoft.com/office/drawing/2014/main" id="{9DDE2343-8ED2-4C34-AF45-5641746366D4}"/>
            </a:ext>
          </a:extLst>
        </xdr:cNvPr>
        <xdr:cNvSpPr/>
      </xdr:nvSpPr>
      <xdr:spPr>
        <a:xfrm>
          <a:off x="8458200"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177B750-F34C-4CC8-A785-4CA608A21F13}" type="TxLink">
            <a:rPr lang="en-US" sz="1200" b="1" i="0" u="none" strike="noStrike">
              <a:solidFill>
                <a:srgbClr val="FFFFFF"/>
              </a:solidFill>
              <a:latin typeface="Calibri"/>
              <a:cs typeface="Calibri"/>
            </a:rPr>
            <a:pPr algn="ctr"/>
            <a:t>Meta 2</a:t>
          </a:fld>
          <a:endParaRPr lang="en-US">
            <a:solidFill>
              <a:schemeClr val="bg1"/>
            </a:solidFill>
          </a:endParaRPr>
        </a:p>
      </xdr:txBody>
    </xdr:sp>
    <xdr:clientData/>
  </xdr:twoCellAnchor>
  <xdr:twoCellAnchor>
    <xdr:from>
      <xdr:col>9</xdr:col>
      <xdr:colOff>619125</xdr:colOff>
      <xdr:row>2</xdr:row>
      <xdr:rowOff>66675</xdr:rowOff>
    </xdr:from>
    <xdr:to>
      <xdr:col>10</xdr:col>
      <xdr:colOff>709101</xdr:colOff>
      <xdr:row>3</xdr:row>
      <xdr:rowOff>58516</xdr:rowOff>
    </xdr:to>
    <xdr:sp macro="" textlink="'KPI1'!D10">
      <xdr:nvSpPr>
        <xdr:cNvPr id="17" name="Rectángulo 16">
          <a:hlinkClick xmlns:r="http://schemas.openxmlformats.org/officeDocument/2006/relationships" r:id="rId15"/>
          <a:extLst>
            <a:ext uri="{FF2B5EF4-FFF2-40B4-BE49-F238E27FC236}">
              <a16:creationId xmlns:a16="http://schemas.microsoft.com/office/drawing/2014/main" id="{325515D5-CCBF-4C0F-A6EA-0ABC389F7AD7}"/>
            </a:ext>
          </a:extLst>
        </xdr:cNvPr>
        <xdr:cNvSpPr/>
      </xdr:nvSpPr>
      <xdr:spPr>
        <a:xfrm>
          <a:off x="9715500"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D9D04C0F-2073-4CCA-ADC6-0BE4478624FB}" type="TxLink">
            <a:rPr lang="en-US" sz="1200" b="1" i="0" u="none" strike="noStrike">
              <a:solidFill>
                <a:srgbClr val="FFFFFF"/>
              </a:solidFill>
              <a:latin typeface="Calibri"/>
              <a:cs typeface="Calibri"/>
            </a:rPr>
            <a:pPr algn="ctr"/>
            <a:t>Meta 3</a:t>
          </a:fld>
          <a:endParaRPr lang="en-US" sz="1200" b="1" i="0" u="none" strike="noStrike">
            <a:solidFill>
              <a:schemeClr val="bg1"/>
            </a:solidFill>
            <a:latin typeface="Calibri"/>
            <a:cs typeface="Calibri"/>
          </a:endParaRPr>
        </a:p>
      </xdr:txBody>
    </xdr:sp>
    <xdr:clientData/>
  </xdr:twoCellAnchor>
  <xdr:twoCellAnchor>
    <xdr:from>
      <xdr:col>10</xdr:col>
      <xdr:colOff>762000</xdr:colOff>
      <xdr:row>2</xdr:row>
      <xdr:rowOff>66675</xdr:rowOff>
    </xdr:from>
    <xdr:to>
      <xdr:col>11</xdr:col>
      <xdr:colOff>851976</xdr:colOff>
      <xdr:row>3</xdr:row>
      <xdr:rowOff>58516</xdr:rowOff>
    </xdr:to>
    <xdr:sp macro="" textlink="'KPI1'!E10">
      <xdr:nvSpPr>
        <xdr:cNvPr id="18" name="Rectángulo 17">
          <a:hlinkClick xmlns:r="http://schemas.openxmlformats.org/officeDocument/2006/relationships" r:id="rId16"/>
          <a:extLst>
            <a:ext uri="{FF2B5EF4-FFF2-40B4-BE49-F238E27FC236}">
              <a16:creationId xmlns:a16="http://schemas.microsoft.com/office/drawing/2014/main" id="{446D1855-1A7B-4072-9F00-20BBC5970032}"/>
            </a:ext>
          </a:extLst>
        </xdr:cNvPr>
        <xdr:cNvSpPr/>
      </xdr:nvSpPr>
      <xdr:spPr>
        <a:xfrm>
          <a:off x="10972800"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92C1483-92C6-49F1-873F-6CB8A3E0AC99}" type="TxLink">
            <a:rPr lang="en-US" sz="1200" b="1" i="0" u="none" strike="noStrike">
              <a:solidFill>
                <a:srgbClr val="FFFFFF"/>
              </a:solidFill>
              <a:latin typeface="Calibri"/>
              <a:cs typeface="Calibri"/>
            </a:rPr>
            <a:pPr algn="ctr"/>
            <a:t>Meta 4</a:t>
          </a:fld>
          <a:endParaRPr lang="en-US" sz="1200" b="1" i="0" u="none" strike="noStrike">
            <a:solidFill>
              <a:schemeClr val="bg1"/>
            </a:solidFill>
            <a:latin typeface="Calibri"/>
            <a:cs typeface="Calibri"/>
          </a:endParaRPr>
        </a:p>
      </xdr:txBody>
    </xdr:sp>
    <xdr:clientData/>
  </xdr:twoCellAnchor>
  <xdr:twoCellAnchor>
    <xdr:from>
      <xdr:col>11</xdr:col>
      <xdr:colOff>904875</xdr:colOff>
      <xdr:row>2</xdr:row>
      <xdr:rowOff>66675</xdr:rowOff>
    </xdr:from>
    <xdr:to>
      <xdr:col>12</xdr:col>
      <xdr:colOff>994851</xdr:colOff>
      <xdr:row>3</xdr:row>
      <xdr:rowOff>58516</xdr:rowOff>
    </xdr:to>
    <xdr:sp macro="" textlink="'KPI1'!F10">
      <xdr:nvSpPr>
        <xdr:cNvPr id="19" name="Rectángulo 18">
          <a:hlinkClick xmlns:r="http://schemas.openxmlformats.org/officeDocument/2006/relationships" r:id="rId17"/>
          <a:extLst>
            <a:ext uri="{FF2B5EF4-FFF2-40B4-BE49-F238E27FC236}">
              <a16:creationId xmlns:a16="http://schemas.microsoft.com/office/drawing/2014/main" id="{32FD0C80-8EE3-4288-8BE2-4F3B9F63DC8C}"/>
            </a:ext>
          </a:extLst>
        </xdr:cNvPr>
        <xdr:cNvSpPr/>
      </xdr:nvSpPr>
      <xdr:spPr>
        <a:xfrm>
          <a:off x="12230100" y="876300"/>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CFF8DB2-64C1-4F64-BC52-26834C2805B3}" type="TxLink">
            <a:rPr lang="en-US" sz="1200" b="1" i="0" u="none" strike="noStrike">
              <a:solidFill>
                <a:schemeClr val="tx1"/>
              </a:solidFill>
              <a:latin typeface="Calibri"/>
              <a:cs typeface="Calibri"/>
            </a:rPr>
            <a:pPr algn="ctr"/>
            <a:t>Meta 5</a:t>
          </a:fld>
          <a:endParaRPr lang="en-US" sz="1200" b="1" i="0" u="none" strike="noStrike">
            <a:solidFill>
              <a:schemeClr val="tx1"/>
            </a:solidFill>
            <a:latin typeface="Calibri"/>
            <a:cs typeface="Calibri"/>
          </a:endParaRPr>
        </a:p>
      </xdr:txBody>
    </xdr:sp>
    <xdr:clientData/>
  </xdr:twoCellAnchor>
  <xdr:twoCellAnchor>
    <xdr:from>
      <xdr:col>12</xdr:col>
      <xdr:colOff>1047750</xdr:colOff>
      <xdr:row>2</xdr:row>
      <xdr:rowOff>66675</xdr:rowOff>
    </xdr:from>
    <xdr:to>
      <xdr:col>14</xdr:col>
      <xdr:colOff>23301</xdr:colOff>
      <xdr:row>3</xdr:row>
      <xdr:rowOff>58516</xdr:rowOff>
    </xdr:to>
    <xdr:sp macro="" textlink="'KPI1'!G10">
      <xdr:nvSpPr>
        <xdr:cNvPr id="20" name="Rectángulo 19">
          <a:hlinkClick xmlns:r="http://schemas.openxmlformats.org/officeDocument/2006/relationships" r:id="rId18"/>
          <a:extLst>
            <a:ext uri="{FF2B5EF4-FFF2-40B4-BE49-F238E27FC236}">
              <a16:creationId xmlns:a16="http://schemas.microsoft.com/office/drawing/2014/main" id="{0C96CFCE-8018-4FDA-BF8C-3C714DA51FE5}"/>
            </a:ext>
          </a:extLst>
        </xdr:cNvPr>
        <xdr:cNvSpPr/>
      </xdr:nvSpPr>
      <xdr:spPr>
        <a:xfrm>
          <a:off x="13487400"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DC6313-00AD-443A-81B4-37D8EDCD0483}" type="TxLink">
            <a:rPr lang="en-US" sz="1200" b="1" i="0" u="none" strike="noStrike">
              <a:solidFill>
                <a:srgbClr val="FFFFFF"/>
              </a:solidFill>
              <a:latin typeface="Calibri"/>
              <a:cs typeface="Calibri"/>
            </a:rPr>
            <a:pPr algn="ctr"/>
            <a:t>Meta 6</a:t>
          </a:fld>
          <a:endParaRPr lang="en-US" sz="1200" b="1" i="0" u="none" strike="noStrike">
            <a:solidFill>
              <a:schemeClr val="bg1"/>
            </a:solidFill>
            <a:latin typeface="Calibri"/>
            <a:cs typeface="Calibri"/>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2</xdr:col>
      <xdr:colOff>514350</xdr:colOff>
      <xdr:row>0</xdr:row>
      <xdr:rowOff>0</xdr:rowOff>
    </xdr:from>
    <xdr:to>
      <xdr:col>4</xdr:col>
      <xdr:colOff>145074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75EF18DA-B4A9-4D20-BE93-5A4C556A8913}"/>
            </a:ext>
          </a:extLst>
        </xdr:cNvPr>
        <xdr:cNvSpPr txBox="1"/>
      </xdr:nvSpPr>
      <xdr:spPr>
        <a:xfrm>
          <a:off x="180975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4</xdr:col>
      <xdr:colOff>196362</xdr:colOff>
      <xdr:row>0</xdr:row>
      <xdr:rowOff>0</xdr:rowOff>
    </xdr:from>
    <xdr:to>
      <xdr:col>6</xdr:col>
      <xdr:colOff>208085</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71A1E076-EBEB-4446-8B2E-D2BA2CB54629}"/>
            </a:ext>
          </a:extLst>
        </xdr:cNvPr>
        <xdr:cNvSpPr txBox="1"/>
      </xdr:nvSpPr>
      <xdr:spPr>
        <a:xfrm>
          <a:off x="372061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6</xdr:col>
      <xdr:colOff>253970</xdr:colOff>
      <xdr:row>0</xdr:row>
      <xdr:rowOff>0</xdr:rowOff>
    </xdr:from>
    <xdr:to>
      <xdr:col>7</xdr:col>
      <xdr:colOff>931252</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5DBB9E82-31EB-481D-B285-C49154152E53}"/>
            </a:ext>
          </a:extLst>
        </xdr:cNvPr>
        <xdr:cNvSpPr txBox="1"/>
      </xdr:nvSpPr>
      <xdr:spPr>
        <a:xfrm>
          <a:off x="600707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7</xdr:col>
      <xdr:colOff>974661</xdr:colOff>
      <xdr:row>0</xdr:row>
      <xdr:rowOff>0</xdr:rowOff>
    </xdr:from>
    <xdr:to>
      <xdr:col>9</xdr:col>
      <xdr:colOff>737818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AB54274E-936D-492C-91A7-E0228C736819}"/>
            </a:ext>
          </a:extLst>
        </xdr:cNvPr>
        <xdr:cNvSpPr txBox="1"/>
      </xdr:nvSpPr>
      <xdr:spPr>
        <a:xfrm>
          <a:off x="784218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514350</xdr:colOff>
      <xdr:row>0</xdr:row>
      <xdr:rowOff>0</xdr:rowOff>
    </xdr:from>
    <xdr:to>
      <xdr:col>2</xdr:col>
      <xdr:colOff>1012581</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D41E3EBD-9DF1-44F4-966F-26A699BE72F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80975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218343</xdr:colOff>
      <xdr:row>0</xdr:row>
      <xdr:rowOff>14654</xdr:rowOff>
    </xdr:from>
    <xdr:to>
      <xdr:col>4</xdr:col>
      <xdr:colOff>687264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72071082-C709-4C72-B80C-CC06225E728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4259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274027</xdr:colOff>
      <xdr:row>0</xdr:row>
      <xdr:rowOff>0</xdr:rowOff>
    </xdr:from>
    <xdr:to>
      <xdr:col>6</xdr:col>
      <xdr:colOff>669680</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123A2FEC-EAD0-4E52-9D1D-84A66771B539}"/>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02712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989865</xdr:colOff>
      <xdr:row>0</xdr:row>
      <xdr:rowOff>14654</xdr:rowOff>
    </xdr:from>
    <xdr:to>
      <xdr:col>8</xdr:col>
      <xdr:colOff>454267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BE7502E9-6CEB-4DD9-91EE-BFB358C9C2DB}"/>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85739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295275</xdr:colOff>
      <xdr:row>1</xdr:row>
      <xdr:rowOff>0</xdr:rowOff>
    </xdr:from>
    <xdr:to>
      <xdr:col>5</xdr:col>
      <xdr:colOff>116542</xdr:colOff>
      <xdr:row>1</xdr:row>
      <xdr:rowOff>302559</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AF79FF6E-3296-4DA2-9CE1-AC89F3923BE5}"/>
            </a:ext>
          </a:extLst>
        </xdr:cNvPr>
        <xdr:cNvSpPr/>
      </xdr:nvSpPr>
      <xdr:spPr>
        <a:xfrm>
          <a:off x="2705100" y="495300"/>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5</xdr:col>
      <xdr:colOff>125633</xdr:colOff>
      <xdr:row>1</xdr:row>
      <xdr:rowOff>0</xdr:rowOff>
    </xdr:from>
    <xdr:to>
      <xdr:col>6</xdr:col>
      <xdr:colOff>336049</xdr:colOff>
      <xdr:row>1</xdr:row>
      <xdr:rowOff>302559</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D904F6AE-53A3-4DDC-9AA8-AAC0D5CC44F4}"/>
            </a:ext>
          </a:extLst>
        </xdr:cNvPr>
        <xdr:cNvSpPr/>
      </xdr:nvSpPr>
      <xdr:spPr>
        <a:xfrm>
          <a:off x="4764308" y="495300"/>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6</xdr:col>
      <xdr:colOff>345575</xdr:colOff>
      <xdr:row>1</xdr:row>
      <xdr:rowOff>0</xdr:rowOff>
    </xdr:from>
    <xdr:to>
      <xdr:col>7</xdr:col>
      <xdr:colOff>382809</xdr:colOff>
      <xdr:row>1</xdr:row>
      <xdr:rowOff>302559</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D83111E5-91B2-4DC8-8370-1C85E51D47EF}"/>
            </a:ext>
          </a:extLst>
        </xdr:cNvPr>
        <xdr:cNvSpPr/>
      </xdr:nvSpPr>
      <xdr:spPr>
        <a:xfrm>
          <a:off x="6098675" y="495300"/>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7</xdr:col>
      <xdr:colOff>402292</xdr:colOff>
      <xdr:row>1</xdr:row>
      <xdr:rowOff>9525</xdr:rowOff>
    </xdr:from>
    <xdr:to>
      <xdr:col>8</xdr:col>
      <xdr:colOff>1049992</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CFF0045F-A952-4D02-91A4-1BB4070D4881}"/>
            </a:ext>
          </a:extLst>
        </xdr:cNvPr>
        <xdr:cNvSpPr/>
      </xdr:nvSpPr>
      <xdr:spPr>
        <a:xfrm>
          <a:off x="7269817" y="504825"/>
          <a:ext cx="17621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tx1"/>
              </a:solidFill>
              <a:latin typeface="CALIBRI"/>
              <a:cs typeface="CALIBRI"/>
            </a:rPr>
            <a:pPr algn="ctr"/>
            <a:t>2.4. Seguimiento de KPI´s</a:t>
          </a:fld>
          <a:endParaRPr lang="en-US" sz="2400" b="1">
            <a:solidFill>
              <a:schemeClr val="tx1"/>
            </a:solidFill>
          </a:endParaRPr>
        </a:p>
      </xdr:txBody>
    </xdr:sp>
    <xdr:clientData/>
  </xdr:twoCellAnchor>
  <xdr:twoCellAnchor>
    <xdr:from>
      <xdr:col>8</xdr:col>
      <xdr:colOff>1069042</xdr:colOff>
      <xdr:row>1</xdr:row>
      <xdr:rowOff>0</xdr:rowOff>
    </xdr:from>
    <xdr:to>
      <xdr:col>10</xdr:col>
      <xdr:colOff>297517</xdr:colOff>
      <xdr:row>1</xdr:row>
      <xdr:rowOff>302559</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BA321A28-EF9F-4C7C-8F6D-387B9BB015F4}"/>
            </a:ext>
          </a:extLst>
        </xdr:cNvPr>
        <xdr:cNvSpPr/>
      </xdr:nvSpPr>
      <xdr:spPr>
        <a:xfrm>
          <a:off x="9050992" y="495300"/>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7</xdr:col>
      <xdr:colOff>381000</xdr:colOff>
      <xdr:row>2</xdr:row>
      <xdr:rowOff>66675</xdr:rowOff>
    </xdr:from>
    <xdr:to>
      <xdr:col>8</xdr:col>
      <xdr:colOff>470976</xdr:colOff>
      <xdr:row>3</xdr:row>
      <xdr:rowOff>58516</xdr:rowOff>
    </xdr:to>
    <xdr:sp macro="" textlink="'KPI1'!B10">
      <xdr:nvSpPr>
        <xdr:cNvPr id="15" name="Rectángulo 14">
          <a:hlinkClick xmlns:r="http://schemas.openxmlformats.org/officeDocument/2006/relationships" r:id="rId12"/>
          <a:extLst>
            <a:ext uri="{FF2B5EF4-FFF2-40B4-BE49-F238E27FC236}">
              <a16:creationId xmlns:a16="http://schemas.microsoft.com/office/drawing/2014/main" id="{B61A6D81-BC55-48AE-94D4-01DC004C7664}"/>
            </a:ext>
          </a:extLst>
        </xdr:cNvPr>
        <xdr:cNvSpPr/>
      </xdr:nvSpPr>
      <xdr:spPr>
        <a:xfrm>
          <a:off x="72485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E08AC93-CA1B-48A2-A403-CF85D722B6C7}" type="TxLink">
            <a:rPr lang="en-US" sz="1200" b="1" i="0" u="none" strike="noStrike">
              <a:solidFill>
                <a:schemeClr val="bg1"/>
              </a:solidFill>
              <a:latin typeface="Calibri"/>
              <a:cs typeface="Calibri"/>
            </a:rPr>
            <a:pPr algn="ctr"/>
            <a:t>Meta 1</a:t>
          </a:fld>
          <a:endParaRPr lang="en-US">
            <a:solidFill>
              <a:schemeClr val="bg1"/>
            </a:solidFill>
          </a:endParaRPr>
        </a:p>
      </xdr:txBody>
    </xdr:sp>
    <xdr:clientData/>
  </xdr:twoCellAnchor>
  <xdr:twoCellAnchor>
    <xdr:from>
      <xdr:col>8</xdr:col>
      <xdr:colOff>523875</xdr:colOff>
      <xdr:row>2</xdr:row>
      <xdr:rowOff>66675</xdr:rowOff>
    </xdr:from>
    <xdr:to>
      <xdr:col>9</xdr:col>
      <xdr:colOff>613851</xdr:colOff>
      <xdr:row>3</xdr:row>
      <xdr:rowOff>58516</xdr:rowOff>
    </xdr:to>
    <xdr:sp macro="" textlink="'KPI1'!C10">
      <xdr:nvSpPr>
        <xdr:cNvPr id="16" name="Rectángulo 15">
          <a:hlinkClick xmlns:r="http://schemas.openxmlformats.org/officeDocument/2006/relationships" r:id="rId14"/>
          <a:extLst>
            <a:ext uri="{FF2B5EF4-FFF2-40B4-BE49-F238E27FC236}">
              <a16:creationId xmlns:a16="http://schemas.microsoft.com/office/drawing/2014/main" id="{7A3FBC4C-161D-448C-9E93-838BCAA6249A}"/>
            </a:ext>
          </a:extLst>
        </xdr:cNvPr>
        <xdr:cNvSpPr/>
      </xdr:nvSpPr>
      <xdr:spPr>
        <a:xfrm>
          <a:off x="85058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177B750-F34C-4CC8-A785-4CA608A21F13}" type="TxLink">
            <a:rPr lang="en-US" sz="1200" b="1" i="0" u="none" strike="noStrike">
              <a:solidFill>
                <a:srgbClr val="FFFFFF"/>
              </a:solidFill>
              <a:latin typeface="Calibri"/>
              <a:cs typeface="Calibri"/>
            </a:rPr>
            <a:pPr algn="ctr"/>
            <a:t>Meta 2</a:t>
          </a:fld>
          <a:endParaRPr lang="en-US">
            <a:solidFill>
              <a:schemeClr val="bg1"/>
            </a:solidFill>
          </a:endParaRPr>
        </a:p>
      </xdr:txBody>
    </xdr:sp>
    <xdr:clientData/>
  </xdr:twoCellAnchor>
  <xdr:twoCellAnchor>
    <xdr:from>
      <xdr:col>9</xdr:col>
      <xdr:colOff>666750</xdr:colOff>
      <xdr:row>2</xdr:row>
      <xdr:rowOff>66675</xdr:rowOff>
    </xdr:from>
    <xdr:to>
      <xdr:col>10</xdr:col>
      <xdr:colOff>756726</xdr:colOff>
      <xdr:row>3</xdr:row>
      <xdr:rowOff>58516</xdr:rowOff>
    </xdr:to>
    <xdr:sp macro="" textlink="'KPI1'!D10">
      <xdr:nvSpPr>
        <xdr:cNvPr id="17" name="Rectángulo 16">
          <a:hlinkClick xmlns:r="http://schemas.openxmlformats.org/officeDocument/2006/relationships" r:id="rId15"/>
          <a:extLst>
            <a:ext uri="{FF2B5EF4-FFF2-40B4-BE49-F238E27FC236}">
              <a16:creationId xmlns:a16="http://schemas.microsoft.com/office/drawing/2014/main" id="{A747851C-7DAF-4F76-BD48-C090B7376310}"/>
            </a:ext>
          </a:extLst>
        </xdr:cNvPr>
        <xdr:cNvSpPr/>
      </xdr:nvSpPr>
      <xdr:spPr>
        <a:xfrm>
          <a:off x="97631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D9D04C0F-2073-4CCA-ADC6-0BE4478624FB}" type="TxLink">
            <a:rPr lang="en-US" sz="1200" b="1" i="0" u="none" strike="noStrike">
              <a:solidFill>
                <a:srgbClr val="FFFFFF"/>
              </a:solidFill>
              <a:latin typeface="Calibri"/>
              <a:cs typeface="Calibri"/>
            </a:rPr>
            <a:pPr algn="ctr"/>
            <a:t>Meta 3</a:t>
          </a:fld>
          <a:endParaRPr lang="en-US" sz="1200" b="1" i="0" u="none" strike="noStrike">
            <a:solidFill>
              <a:schemeClr val="bg1"/>
            </a:solidFill>
            <a:latin typeface="Calibri"/>
            <a:cs typeface="Calibri"/>
          </a:endParaRPr>
        </a:p>
      </xdr:txBody>
    </xdr:sp>
    <xdr:clientData/>
  </xdr:twoCellAnchor>
  <xdr:twoCellAnchor>
    <xdr:from>
      <xdr:col>10</xdr:col>
      <xdr:colOff>809625</xdr:colOff>
      <xdr:row>2</xdr:row>
      <xdr:rowOff>66675</xdr:rowOff>
    </xdr:from>
    <xdr:to>
      <xdr:col>11</xdr:col>
      <xdr:colOff>899601</xdr:colOff>
      <xdr:row>3</xdr:row>
      <xdr:rowOff>58516</xdr:rowOff>
    </xdr:to>
    <xdr:sp macro="" textlink="'KPI1'!E10">
      <xdr:nvSpPr>
        <xdr:cNvPr id="18" name="Rectángulo 17">
          <a:hlinkClick xmlns:r="http://schemas.openxmlformats.org/officeDocument/2006/relationships" r:id="rId16"/>
          <a:extLst>
            <a:ext uri="{FF2B5EF4-FFF2-40B4-BE49-F238E27FC236}">
              <a16:creationId xmlns:a16="http://schemas.microsoft.com/office/drawing/2014/main" id="{F9E1BAEF-C755-4BDA-84CD-DAA03B21B3D3}"/>
            </a:ext>
          </a:extLst>
        </xdr:cNvPr>
        <xdr:cNvSpPr/>
      </xdr:nvSpPr>
      <xdr:spPr>
        <a:xfrm>
          <a:off x="110204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92C1483-92C6-49F1-873F-6CB8A3E0AC99}" type="TxLink">
            <a:rPr lang="en-US" sz="1200" b="1" i="0" u="none" strike="noStrike">
              <a:solidFill>
                <a:srgbClr val="FFFFFF"/>
              </a:solidFill>
              <a:latin typeface="Calibri"/>
              <a:cs typeface="Calibri"/>
            </a:rPr>
            <a:pPr algn="ctr"/>
            <a:t>Meta 4</a:t>
          </a:fld>
          <a:endParaRPr lang="en-US" sz="1200" b="1" i="0" u="none" strike="noStrike">
            <a:solidFill>
              <a:schemeClr val="bg1"/>
            </a:solidFill>
            <a:latin typeface="Calibri"/>
            <a:cs typeface="Calibri"/>
          </a:endParaRPr>
        </a:p>
      </xdr:txBody>
    </xdr:sp>
    <xdr:clientData/>
  </xdr:twoCellAnchor>
  <xdr:twoCellAnchor>
    <xdr:from>
      <xdr:col>11</xdr:col>
      <xdr:colOff>952500</xdr:colOff>
      <xdr:row>2</xdr:row>
      <xdr:rowOff>66675</xdr:rowOff>
    </xdr:from>
    <xdr:to>
      <xdr:col>12</xdr:col>
      <xdr:colOff>1042476</xdr:colOff>
      <xdr:row>3</xdr:row>
      <xdr:rowOff>58516</xdr:rowOff>
    </xdr:to>
    <xdr:sp macro="" textlink="'KPI1'!F10">
      <xdr:nvSpPr>
        <xdr:cNvPr id="19" name="Rectángulo 18">
          <a:hlinkClick xmlns:r="http://schemas.openxmlformats.org/officeDocument/2006/relationships" r:id="rId17"/>
          <a:extLst>
            <a:ext uri="{FF2B5EF4-FFF2-40B4-BE49-F238E27FC236}">
              <a16:creationId xmlns:a16="http://schemas.microsoft.com/office/drawing/2014/main" id="{58A75DC7-D156-4C32-96AE-1FB68C110194}"/>
            </a:ext>
          </a:extLst>
        </xdr:cNvPr>
        <xdr:cNvSpPr/>
      </xdr:nvSpPr>
      <xdr:spPr>
        <a:xfrm>
          <a:off x="122777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CFF8DB2-64C1-4F64-BC52-26834C2805B3}" type="TxLink">
            <a:rPr lang="en-US" sz="1200" b="1" i="0" u="none" strike="noStrike">
              <a:solidFill>
                <a:srgbClr val="FFFFFF"/>
              </a:solidFill>
              <a:latin typeface="Calibri"/>
              <a:cs typeface="Calibri"/>
            </a:rPr>
            <a:pPr algn="ctr"/>
            <a:t>Meta 5</a:t>
          </a:fld>
          <a:endParaRPr lang="en-US" sz="1200" b="1" i="0" u="none" strike="noStrike">
            <a:solidFill>
              <a:schemeClr val="bg1"/>
            </a:solidFill>
            <a:latin typeface="Calibri"/>
            <a:cs typeface="Calibri"/>
          </a:endParaRPr>
        </a:p>
      </xdr:txBody>
    </xdr:sp>
    <xdr:clientData/>
  </xdr:twoCellAnchor>
  <xdr:twoCellAnchor>
    <xdr:from>
      <xdr:col>12</xdr:col>
      <xdr:colOff>1095375</xdr:colOff>
      <xdr:row>2</xdr:row>
      <xdr:rowOff>66675</xdr:rowOff>
    </xdr:from>
    <xdr:to>
      <xdr:col>14</xdr:col>
      <xdr:colOff>70926</xdr:colOff>
      <xdr:row>3</xdr:row>
      <xdr:rowOff>58516</xdr:rowOff>
    </xdr:to>
    <xdr:sp macro="" textlink="'KPI1'!G10">
      <xdr:nvSpPr>
        <xdr:cNvPr id="20" name="Rectángulo 19">
          <a:hlinkClick xmlns:r="http://schemas.openxmlformats.org/officeDocument/2006/relationships" r:id="rId18"/>
          <a:extLst>
            <a:ext uri="{FF2B5EF4-FFF2-40B4-BE49-F238E27FC236}">
              <a16:creationId xmlns:a16="http://schemas.microsoft.com/office/drawing/2014/main" id="{9D0EA0A4-FB0B-448F-B475-0D30B60AB74D}"/>
            </a:ext>
          </a:extLst>
        </xdr:cNvPr>
        <xdr:cNvSpPr/>
      </xdr:nvSpPr>
      <xdr:spPr>
        <a:xfrm>
          <a:off x="13535025" y="876300"/>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DC6313-00AD-443A-81B4-37D8EDCD0483}" type="TxLink">
            <a:rPr lang="en-US" sz="1200" b="1" i="0" u="none" strike="noStrike">
              <a:solidFill>
                <a:schemeClr val="tx1"/>
              </a:solidFill>
              <a:latin typeface="Calibri"/>
              <a:cs typeface="Calibri"/>
            </a:rPr>
            <a:pPr algn="ctr"/>
            <a:t>Meta 6</a:t>
          </a:fld>
          <a:endParaRPr lang="en-US" sz="1200" b="1" i="0" u="none" strike="noStrike">
            <a:solidFill>
              <a:schemeClr val="tx1"/>
            </a:solidFill>
            <a:latin typeface="Calibri"/>
            <a:cs typeface="Calibri"/>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2</xdr:col>
      <xdr:colOff>0</xdr:colOff>
      <xdr:row>0</xdr:row>
      <xdr:rowOff>0</xdr:rowOff>
    </xdr:from>
    <xdr:to>
      <xdr:col>3</xdr:col>
      <xdr:colOff>145074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5ECAB7EE-FC3A-417E-9523-F764BAA0CFF7}"/>
            </a:ext>
          </a:extLst>
        </xdr:cNvPr>
        <xdr:cNvSpPr txBox="1"/>
      </xdr:nvSpPr>
      <xdr:spPr>
        <a:xfrm>
          <a:off x="1895475"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3</xdr:col>
      <xdr:colOff>196362</xdr:colOff>
      <xdr:row>0</xdr:row>
      <xdr:rowOff>0</xdr:rowOff>
    </xdr:from>
    <xdr:to>
      <xdr:col>4</xdr:col>
      <xdr:colOff>722435</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B7C52564-778E-4137-815E-FB6CF051EF51}"/>
            </a:ext>
          </a:extLst>
        </xdr:cNvPr>
        <xdr:cNvSpPr txBox="1"/>
      </xdr:nvSpPr>
      <xdr:spPr>
        <a:xfrm>
          <a:off x="3806337"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4</xdr:col>
      <xdr:colOff>768320</xdr:colOff>
      <xdr:row>0</xdr:row>
      <xdr:rowOff>0</xdr:rowOff>
    </xdr:from>
    <xdr:to>
      <xdr:col>5</xdr:col>
      <xdr:colOff>845527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FA34AE2B-0C2F-4877-8581-141406C63487}"/>
            </a:ext>
          </a:extLst>
        </xdr:cNvPr>
        <xdr:cNvSpPr txBox="1"/>
      </xdr:nvSpPr>
      <xdr:spPr>
        <a:xfrm>
          <a:off x="6092795"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5</xdr:col>
      <xdr:colOff>888936</xdr:colOff>
      <xdr:row>0</xdr:row>
      <xdr:rowOff>0</xdr:rowOff>
    </xdr:from>
    <xdr:to>
      <xdr:col>6</xdr:col>
      <xdr:colOff>833068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5106776B-C74A-4060-BF79-BF727288698D}"/>
            </a:ext>
          </a:extLst>
        </xdr:cNvPr>
        <xdr:cNvSpPr txBox="1"/>
      </xdr:nvSpPr>
      <xdr:spPr>
        <a:xfrm>
          <a:off x="7927911"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0</xdr:colOff>
      <xdr:row>0</xdr:row>
      <xdr:rowOff>0</xdr:rowOff>
    </xdr:from>
    <xdr:to>
      <xdr:col>2</xdr:col>
      <xdr:colOff>498231</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708E7708-3E14-4B59-83FA-8DB9B9BDF785}"/>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895475"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218343</xdr:colOff>
      <xdr:row>0</xdr:row>
      <xdr:rowOff>14654</xdr:rowOff>
    </xdr:from>
    <xdr:to>
      <xdr:col>3</xdr:col>
      <xdr:colOff>687264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DA131BF4-1721-433F-AE70-8805C57E6B1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28318"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788377</xdr:colOff>
      <xdr:row>0</xdr:row>
      <xdr:rowOff>0</xdr:rowOff>
    </xdr:from>
    <xdr:to>
      <xdr:col>4</xdr:col>
      <xdr:colOff>1184030</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EC35B6C8-CFA6-4F6F-A511-9D613EEFD240}"/>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112852"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904140</xdr:colOff>
      <xdr:row>0</xdr:row>
      <xdr:rowOff>14654</xdr:rowOff>
    </xdr:from>
    <xdr:to>
      <xdr:col>5</xdr:col>
      <xdr:colOff>1482967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473B2F98-884F-4B66-B8BA-8154C50A12E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943115"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876300</xdr:colOff>
      <xdr:row>1</xdr:row>
      <xdr:rowOff>9525</xdr:rowOff>
    </xdr:from>
    <xdr:to>
      <xdr:col>3</xdr:col>
      <xdr:colOff>1211917</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4404FBB7-A31F-4254-8B79-19F0B8C500C0}"/>
            </a:ext>
          </a:extLst>
        </xdr:cNvPr>
        <xdr:cNvSpPr/>
      </xdr:nvSpPr>
      <xdr:spPr>
        <a:xfrm>
          <a:off x="277177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3</xdr:col>
      <xdr:colOff>1221008</xdr:colOff>
      <xdr:row>1</xdr:row>
      <xdr:rowOff>9525</xdr:rowOff>
    </xdr:from>
    <xdr:to>
      <xdr:col>4</xdr:col>
      <xdr:colOff>831349</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B409D89B-1344-46AD-8E00-DCD162F45723}"/>
            </a:ext>
          </a:extLst>
        </xdr:cNvPr>
        <xdr:cNvSpPr/>
      </xdr:nvSpPr>
      <xdr:spPr>
        <a:xfrm>
          <a:off x="4830983"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4</xdr:col>
      <xdr:colOff>840875</xdr:colOff>
      <xdr:row>1</xdr:row>
      <xdr:rowOff>9525</xdr:rowOff>
    </xdr:from>
    <xdr:to>
      <xdr:col>5</xdr:col>
      <xdr:colOff>278034</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544A3B16-993F-4FC2-9D2E-64E7800A608F}"/>
            </a:ext>
          </a:extLst>
        </xdr:cNvPr>
        <xdr:cNvSpPr/>
      </xdr:nvSpPr>
      <xdr:spPr>
        <a:xfrm>
          <a:off x="6165350"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5</xdr:col>
      <xdr:colOff>297517</xdr:colOff>
      <xdr:row>1</xdr:row>
      <xdr:rowOff>9525</xdr:rowOff>
    </xdr:from>
    <xdr:to>
      <xdr:col>6</xdr:col>
      <xdr:colOff>11767</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F5568D9A-1804-415C-BF56-0C2982BDBD2E}"/>
            </a:ext>
          </a:extLst>
        </xdr:cNvPr>
        <xdr:cNvSpPr/>
      </xdr:nvSpPr>
      <xdr:spPr>
        <a:xfrm>
          <a:off x="7336492"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6</xdr:col>
      <xdr:colOff>30817</xdr:colOff>
      <xdr:row>1</xdr:row>
      <xdr:rowOff>9525</xdr:rowOff>
    </xdr:from>
    <xdr:to>
      <xdr:col>7</xdr:col>
      <xdr:colOff>107017</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40D98A1D-81AB-4286-8F95-974ACD4B0441}"/>
            </a:ext>
          </a:extLst>
        </xdr:cNvPr>
        <xdr:cNvSpPr/>
      </xdr:nvSpPr>
      <xdr:spPr>
        <a:xfrm>
          <a:off x="9117667" y="504825"/>
          <a:ext cx="14573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tx1"/>
              </a:solidFill>
              <a:latin typeface="CALIBRI"/>
              <a:cs typeface="CALIBRI"/>
            </a:rPr>
            <a:pPr algn="ctr"/>
            <a:t>2.5. Plan de acción</a:t>
          </a:fld>
          <a:endParaRPr lang="en-US" sz="3200" b="1">
            <a:solidFill>
              <a:schemeClr val="tx1"/>
            </a:solidFill>
          </a:endParaRPr>
        </a:p>
      </xdr:txBody>
    </xdr:sp>
    <xdr:clientData/>
  </xdr:twoCellAnchor>
  <xdr:twoCellAnchor>
    <xdr:from>
      <xdr:col>5</xdr:col>
      <xdr:colOff>228600</xdr:colOff>
      <xdr:row>2</xdr:row>
      <xdr:rowOff>85725</xdr:rowOff>
    </xdr:from>
    <xdr:to>
      <xdr:col>5</xdr:col>
      <xdr:colOff>1433001</xdr:colOff>
      <xdr:row>3</xdr:row>
      <xdr:rowOff>77566</xdr:rowOff>
    </xdr:to>
    <xdr:sp macro="" textlink="'AP1'!B10">
      <xdr:nvSpPr>
        <xdr:cNvPr id="15" name="Rectángulo 14">
          <a:hlinkClick xmlns:r="http://schemas.openxmlformats.org/officeDocument/2006/relationships" r:id="rId13"/>
          <a:extLst>
            <a:ext uri="{FF2B5EF4-FFF2-40B4-BE49-F238E27FC236}">
              <a16:creationId xmlns:a16="http://schemas.microsoft.com/office/drawing/2014/main" id="{F6B777D7-9DBC-4240-B551-26704C7A7DF4}"/>
            </a:ext>
          </a:extLst>
        </xdr:cNvPr>
        <xdr:cNvSpPr/>
      </xdr:nvSpPr>
      <xdr:spPr>
        <a:xfrm>
          <a:off x="7267575" y="895350"/>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7FBC704-5B6D-491A-AE2B-9577AAFBC21B}" type="TxLink">
            <a:rPr lang="en-US" sz="1200" b="1" i="0" u="none" strike="noStrike">
              <a:solidFill>
                <a:schemeClr val="tx1"/>
              </a:solidFill>
              <a:latin typeface="Calibri"/>
              <a:cs typeface="Calibri"/>
            </a:rPr>
            <a:pPr algn="ctr"/>
            <a:t>Meta 1</a:t>
          </a:fld>
          <a:endParaRPr lang="en-US" sz="1200" b="1" i="0" u="none" strike="noStrike">
            <a:solidFill>
              <a:schemeClr val="tx1"/>
            </a:solidFill>
            <a:latin typeface="Calibri"/>
            <a:cs typeface="Calibri"/>
          </a:endParaRPr>
        </a:p>
      </xdr:txBody>
    </xdr:sp>
    <xdr:clientData/>
  </xdr:twoCellAnchor>
  <xdr:twoCellAnchor>
    <xdr:from>
      <xdr:col>5</xdr:col>
      <xdr:colOff>1485900</xdr:colOff>
      <xdr:row>2</xdr:row>
      <xdr:rowOff>85725</xdr:rowOff>
    </xdr:from>
    <xdr:to>
      <xdr:col>6</xdr:col>
      <xdr:colOff>642426</xdr:colOff>
      <xdr:row>3</xdr:row>
      <xdr:rowOff>77566</xdr:rowOff>
    </xdr:to>
    <xdr:sp macro="" textlink="'AP1'!C10">
      <xdr:nvSpPr>
        <xdr:cNvPr id="16" name="Rectángulo 15">
          <a:hlinkClick xmlns:r="http://schemas.openxmlformats.org/officeDocument/2006/relationships" r:id="rId14"/>
          <a:extLst>
            <a:ext uri="{FF2B5EF4-FFF2-40B4-BE49-F238E27FC236}">
              <a16:creationId xmlns:a16="http://schemas.microsoft.com/office/drawing/2014/main" id="{A78DA198-855A-4331-BB8F-BEB7DEFCA68D}"/>
            </a:ext>
          </a:extLst>
        </xdr:cNvPr>
        <xdr:cNvSpPr/>
      </xdr:nvSpPr>
      <xdr:spPr>
        <a:xfrm>
          <a:off x="8524875"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DD00A0B-B878-460E-A94B-3BB9DAC07330}" type="TxLink">
            <a:rPr lang="en-US" sz="1200" b="1" i="0" u="none" strike="noStrike">
              <a:solidFill>
                <a:srgbClr val="FFFFFF"/>
              </a:solidFill>
              <a:latin typeface="Calibri"/>
              <a:cs typeface="Calibri"/>
            </a:rPr>
            <a:pPr algn="ctr"/>
            <a:t>Meta 2</a:t>
          </a:fld>
          <a:endParaRPr lang="en-US"/>
        </a:p>
      </xdr:txBody>
    </xdr:sp>
    <xdr:clientData/>
  </xdr:twoCellAnchor>
  <xdr:twoCellAnchor>
    <xdr:from>
      <xdr:col>6</xdr:col>
      <xdr:colOff>695325</xdr:colOff>
      <xdr:row>2</xdr:row>
      <xdr:rowOff>85725</xdr:rowOff>
    </xdr:from>
    <xdr:to>
      <xdr:col>7</xdr:col>
      <xdr:colOff>518601</xdr:colOff>
      <xdr:row>3</xdr:row>
      <xdr:rowOff>77566</xdr:rowOff>
    </xdr:to>
    <xdr:sp macro="" textlink="'AP1'!D10">
      <xdr:nvSpPr>
        <xdr:cNvPr id="17" name="Rectángulo 16">
          <a:hlinkClick xmlns:r="http://schemas.openxmlformats.org/officeDocument/2006/relationships" r:id="rId15"/>
          <a:extLst>
            <a:ext uri="{FF2B5EF4-FFF2-40B4-BE49-F238E27FC236}">
              <a16:creationId xmlns:a16="http://schemas.microsoft.com/office/drawing/2014/main" id="{DD936852-C801-45CB-91F2-43B629F64EE9}"/>
            </a:ext>
          </a:extLst>
        </xdr:cNvPr>
        <xdr:cNvSpPr/>
      </xdr:nvSpPr>
      <xdr:spPr>
        <a:xfrm>
          <a:off x="9782175"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462561C-C0B5-4D23-A45C-45F042767EE4}" type="TxLink">
            <a:rPr lang="en-US" sz="1200" b="1" i="0" u="none" strike="noStrike">
              <a:solidFill>
                <a:srgbClr val="FFFFFF"/>
              </a:solidFill>
              <a:latin typeface="Calibri"/>
              <a:cs typeface="Calibri"/>
            </a:rPr>
            <a:pPr algn="ctr"/>
            <a:t>Meta 3</a:t>
          </a:fld>
          <a:endParaRPr lang="en-US" sz="1200" b="1" i="0" u="none" strike="noStrike">
            <a:solidFill>
              <a:schemeClr val="bg1"/>
            </a:solidFill>
            <a:latin typeface="Calibri"/>
            <a:cs typeface="Calibri"/>
          </a:endParaRPr>
        </a:p>
      </xdr:txBody>
    </xdr:sp>
    <xdr:clientData/>
  </xdr:twoCellAnchor>
  <xdr:twoCellAnchor>
    <xdr:from>
      <xdr:col>7</xdr:col>
      <xdr:colOff>571500</xdr:colOff>
      <xdr:row>2</xdr:row>
      <xdr:rowOff>85725</xdr:rowOff>
    </xdr:from>
    <xdr:to>
      <xdr:col>9</xdr:col>
      <xdr:colOff>394776</xdr:colOff>
      <xdr:row>3</xdr:row>
      <xdr:rowOff>77566</xdr:rowOff>
    </xdr:to>
    <xdr:sp macro="" textlink="'AP1'!E10">
      <xdr:nvSpPr>
        <xdr:cNvPr id="18" name="Rectángulo 17">
          <a:hlinkClick xmlns:r="http://schemas.openxmlformats.org/officeDocument/2006/relationships" r:id="rId16"/>
          <a:extLst>
            <a:ext uri="{FF2B5EF4-FFF2-40B4-BE49-F238E27FC236}">
              <a16:creationId xmlns:a16="http://schemas.microsoft.com/office/drawing/2014/main" id="{2AFEE13A-F900-491D-A15E-13782E7A4986}"/>
            </a:ext>
          </a:extLst>
        </xdr:cNvPr>
        <xdr:cNvSpPr/>
      </xdr:nvSpPr>
      <xdr:spPr>
        <a:xfrm>
          <a:off x="11039475"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BDB60270-A381-415D-B1D5-9C4A7A259109}" type="TxLink">
            <a:rPr lang="en-US" sz="1200" b="1" i="0" u="none" strike="noStrike">
              <a:solidFill>
                <a:srgbClr val="FFFFFF"/>
              </a:solidFill>
              <a:latin typeface="Calibri"/>
              <a:cs typeface="Calibri"/>
            </a:rPr>
            <a:pPr algn="ctr"/>
            <a:t>Meta 4</a:t>
          </a:fld>
          <a:endParaRPr lang="en-US" sz="1200" b="1" i="0" u="none" strike="noStrike">
            <a:solidFill>
              <a:srgbClr val="FFFFFF"/>
            </a:solidFill>
            <a:latin typeface="Calibri"/>
            <a:cs typeface="Calibri"/>
          </a:endParaRPr>
        </a:p>
      </xdr:txBody>
    </xdr:sp>
    <xdr:clientData/>
  </xdr:twoCellAnchor>
  <xdr:twoCellAnchor>
    <xdr:from>
      <xdr:col>9</xdr:col>
      <xdr:colOff>447675</xdr:colOff>
      <xdr:row>2</xdr:row>
      <xdr:rowOff>85725</xdr:rowOff>
    </xdr:from>
    <xdr:to>
      <xdr:col>10</xdr:col>
      <xdr:colOff>537651</xdr:colOff>
      <xdr:row>3</xdr:row>
      <xdr:rowOff>77566</xdr:rowOff>
    </xdr:to>
    <xdr:sp macro="" textlink="'AP1'!F10">
      <xdr:nvSpPr>
        <xdr:cNvPr id="19" name="Rectángulo 18">
          <a:hlinkClick xmlns:r="http://schemas.openxmlformats.org/officeDocument/2006/relationships" r:id="rId17"/>
          <a:extLst>
            <a:ext uri="{FF2B5EF4-FFF2-40B4-BE49-F238E27FC236}">
              <a16:creationId xmlns:a16="http://schemas.microsoft.com/office/drawing/2014/main" id="{BD752B9C-B2D3-47E2-94FB-526C6584C49C}"/>
            </a:ext>
          </a:extLst>
        </xdr:cNvPr>
        <xdr:cNvSpPr/>
      </xdr:nvSpPr>
      <xdr:spPr>
        <a:xfrm>
          <a:off x="12296775"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1F3F83AA-5A39-4061-88E2-5A91A9339F55}" type="TxLink">
            <a:rPr lang="en-US" sz="1200" b="1" i="0" u="none" strike="noStrike">
              <a:solidFill>
                <a:srgbClr val="FFFFFF"/>
              </a:solidFill>
              <a:latin typeface="Calibri"/>
              <a:cs typeface="Calibri"/>
            </a:rPr>
            <a:pPr algn="ctr"/>
            <a:t>Meta 5</a:t>
          </a:fld>
          <a:endParaRPr lang="en-US" sz="1200" b="1" i="0" u="none" strike="noStrike">
            <a:solidFill>
              <a:schemeClr val="bg1"/>
            </a:solidFill>
            <a:latin typeface="Calibri"/>
            <a:cs typeface="Calibri"/>
          </a:endParaRPr>
        </a:p>
      </xdr:txBody>
    </xdr:sp>
    <xdr:clientData/>
  </xdr:twoCellAnchor>
  <xdr:twoCellAnchor>
    <xdr:from>
      <xdr:col>10</xdr:col>
      <xdr:colOff>590550</xdr:colOff>
      <xdr:row>2</xdr:row>
      <xdr:rowOff>85725</xdr:rowOff>
    </xdr:from>
    <xdr:to>
      <xdr:col>11</xdr:col>
      <xdr:colOff>813876</xdr:colOff>
      <xdr:row>3</xdr:row>
      <xdr:rowOff>77566</xdr:rowOff>
    </xdr:to>
    <xdr:sp macro="" textlink="'AP1'!G10">
      <xdr:nvSpPr>
        <xdr:cNvPr id="20" name="Rectángulo 19">
          <a:hlinkClick xmlns:r="http://schemas.openxmlformats.org/officeDocument/2006/relationships" r:id="rId18"/>
          <a:extLst>
            <a:ext uri="{FF2B5EF4-FFF2-40B4-BE49-F238E27FC236}">
              <a16:creationId xmlns:a16="http://schemas.microsoft.com/office/drawing/2014/main" id="{7980EB04-6435-41AA-A433-3299CAB16CF9}"/>
            </a:ext>
          </a:extLst>
        </xdr:cNvPr>
        <xdr:cNvSpPr/>
      </xdr:nvSpPr>
      <xdr:spPr>
        <a:xfrm>
          <a:off x="13554075" y="89535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7869B3-A561-4D4A-B111-9C4356931955}" type="TxLink">
            <a:rPr lang="en-US" sz="1200" b="1" i="0" u="none" strike="noStrike">
              <a:solidFill>
                <a:srgbClr val="FFFFFF"/>
              </a:solidFill>
              <a:latin typeface="Calibri"/>
              <a:cs typeface="Calibri"/>
            </a:rPr>
            <a:pPr algn="ctr"/>
            <a:t>Meta 6</a:t>
          </a:fld>
          <a:endParaRPr lang="en-US" sz="1200" b="1" i="0" u="none" strike="noStrike">
            <a:solidFill>
              <a:schemeClr val="bg1"/>
            </a:solidFill>
            <a:latin typeface="Calibri"/>
            <a:cs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1352549</xdr:colOff>
      <xdr:row>22</xdr:row>
      <xdr:rowOff>9525</xdr:rowOff>
    </xdr:from>
    <xdr:ext cx="390525" cy="264560"/>
    <xdr:sp macro="" textlink="Lan!F17">
      <xdr:nvSpPr>
        <xdr:cNvPr id="6" name="ZoneTexte 5">
          <a:extLst>
            <a:ext uri="{FF2B5EF4-FFF2-40B4-BE49-F238E27FC236}">
              <a16:creationId xmlns:a16="http://schemas.microsoft.com/office/drawing/2014/main" id="{0D97808D-EB2C-48CE-B1B8-C5AD75976335}"/>
            </a:ext>
          </a:extLst>
        </xdr:cNvPr>
        <xdr:cNvSpPr txBox="1"/>
      </xdr:nvSpPr>
      <xdr:spPr>
        <a:xfrm>
          <a:off x="1533524" y="5734050"/>
          <a:ext cx="3905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fld id="{E7384E48-0FCB-4E58-894A-F6DD13983824}" type="TxLink">
            <a:rPr lang="en-US" sz="1000" b="0" i="0" u="none" strike="noStrike">
              <a:solidFill>
                <a:schemeClr val="bg1">
                  <a:lumMod val="50000"/>
                </a:schemeClr>
              </a:solidFill>
              <a:latin typeface="CALIBRI"/>
            </a:rPr>
            <a:pPr/>
            <a:t>Si &lt;</a:t>
          </a:fld>
          <a:endParaRPr lang="fr-CA" sz="1100">
            <a:solidFill>
              <a:schemeClr val="bg1">
                <a:lumMod val="50000"/>
              </a:schemeClr>
            </a:solidFill>
          </a:endParaRPr>
        </a:p>
      </xdr:txBody>
    </xdr:sp>
    <xdr:clientData/>
  </xdr:oneCellAnchor>
  <xdr:oneCellAnchor>
    <xdr:from>
      <xdr:col>1</xdr:col>
      <xdr:colOff>1358264</xdr:colOff>
      <xdr:row>28</xdr:row>
      <xdr:rowOff>22860</xdr:rowOff>
    </xdr:from>
    <xdr:ext cx="390525" cy="264560"/>
    <xdr:sp macro="" textlink="Lan!F17">
      <xdr:nvSpPr>
        <xdr:cNvPr id="3" name="ZoneTexte 1">
          <a:extLst>
            <a:ext uri="{FF2B5EF4-FFF2-40B4-BE49-F238E27FC236}">
              <a16:creationId xmlns:a16="http://schemas.microsoft.com/office/drawing/2014/main" id="{FB3C80F5-269D-44AF-B45A-DF5F212CB98C}"/>
            </a:ext>
          </a:extLst>
        </xdr:cNvPr>
        <xdr:cNvSpPr txBox="1"/>
      </xdr:nvSpPr>
      <xdr:spPr>
        <a:xfrm>
          <a:off x="1539239" y="7090410"/>
          <a:ext cx="3905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fld id="{F6DEBA21-8066-4AFB-A470-26C4BC1EEF05}" type="TxLink">
            <a:rPr lang="en-US" sz="1000" b="0" i="0" u="none" strike="noStrike">
              <a:solidFill>
                <a:schemeClr val="tx1">
                  <a:lumMod val="50000"/>
                  <a:lumOff val="50000"/>
                </a:schemeClr>
              </a:solidFill>
              <a:latin typeface="CALIBRI"/>
              <a:cs typeface="CALIBRI"/>
            </a:rPr>
            <a:pPr/>
            <a:t>Si &lt;</a:t>
          </a:fld>
          <a:endParaRPr lang="fr-CA" sz="1100">
            <a:solidFill>
              <a:schemeClr val="tx1">
                <a:lumMod val="50000"/>
                <a:lumOff val="50000"/>
              </a:schemeClr>
            </a:solidFill>
          </a:endParaRPr>
        </a:p>
      </xdr:txBody>
    </xdr:sp>
    <xdr:clientData/>
  </xdr:oneCellAnchor>
  <xdr:oneCellAnchor>
    <xdr:from>
      <xdr:col>1</xdr:col>
      <xdr:colOff>1350644</xdr:colOff>
      <xdr:row>29</xdr:row>
      <xdr:rowOff>5715</xdr:rowOff>
    </xdr:from>
    <xdr:ext cx="390525" cy="264560"/>
    <xdr:sp macro="" textlink="Lan!F17">
      <xdr:nvSpPr>
        <xdr:cNvPr id="5" name="ZoneTexte 3">
          <a:extLst>
            <a:ext uri="{FF2B5EF4-FFF2-40B4-BE49-F238E27FC236}">
              <a16:creationId xmlns:a16="http://schemas.microsoft.com/office/drawing/2014/main" id="{59350BA1-710B-4E62-81BC-D93FA13C4983}"/>
            </a:ext>
          </a:extLst>
        </xdr:cNvPr>
        <xdr:cNvSpPr txBox="1"/>
      </xdr:nvSpPr>
      <xdr:spPr>
        <a:xfrm>
          <a:off x="1531619" y="7320915"/>
          <a:ext cx="3905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fld id="{317FD672-56BA-49E8-B890-54F6AB7F66A2}" type="TxLink">
            <a:rPr lang="en-US" sz="1000" b="0" i="0" u="none" strike="noStrike">
              <a:solidFill>
                <a:schemeClr val="tx1">
                  <a:lumMod val="50000"/>
                  <a:lumOff val="50000"/>
                </a:schemeClr>
              </a:solidFill>
              <a:latin typeface="CALIBRI"/>
              <a:cs typeface="CALIBRI"/>
            </a:rPr>
            <a:pPr/>
            <a:t>Si &lt;</a:t>
          </a:fld>
          <a:endParaRPr lang="fr-CA" sz="1100">
            <a:solidFill>
              <a:schemeClr val="tx1">
                <a:lumMod val="50000"/>
                <a:lumOff val="50000"/>
              </a:schemeClr>
            </a:solidFill>
          </a:endParaRPr>
        </a:p>
      </xdr:txBody>
    </xdr:sp>
    <xdr:clientData/>
  </xdr:oneCellAnchor>
  <xdr:twoCellAnchor editAs="absolute">
    <xdr:from>
      <xdr:col>1</xdr:col>
      <xdr:colOff>1485900</xdr:colOff>
      <xdr:row>0</xdr:row>
      <xdr:rowOff>0</xdr:rowOff>
    </xdr:from>
    <xdr:to>
      <xdr:col>2</xdr:col>
      <xdr:colOff>1184764</xdr:colOff>
      <xdr:row>1</xdr:row>
      <xdr:rowOff>422</xdr:rowOff>
    </xdr:to>
    <xdr:sp macro="" textlink="Lan!F11">
      <xdr:nvSpPr>
        <xdr:cNvPr id="7" name="TextBox 3">
          <a:hlinkClick xmlns:r="http://schemas.openxmlformats.org/officeDocument/2006/relationships" r:id="rId1"/>
          <a:extLst>
            <a:ext uri="{FF2B5EF4-FFF2-40B4-BE49-F238E27FC236}">
              <a16:creationId xmlns:a16="http://schemas.microsoft.com/office/drawing/2014/main" id="{381E9E14-973D-4917-954D-B9A400712CCF}"/>
            </a:ext>
          </a:extLst>
        </xdr:cNvPr>
        <xdr:cNvSpPr txBox="1"/>
      </xdr:nvSpPr>
      <xdr:spPr>
        <a:xfrm>
          <a:off x="1666875" y="0"/>
          <a:ext cx="1861039"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2</xdr:col>
      <xdr:colOff>1236052</xdr:colOff>
      <xdr:row>0</xdr:row>
      <xdr:rowOff>0</xdr:rowOff>
    </xdr:from>
    <xdr:to>
      <xdr:col>4</xdr:col>
      <xdr:colOff>715841</xdr:colOff>
      <xdr:row>1</xdr:row>
      <xdr:rowOff>422</xdr:rowOff>
    </xdr:to>
    <xdr:sp macro="" textlink="Lan!F29">
      <xdr:nvSpPr>
        <xdr:cNvPr id="8" name="TextBox 3">
          <a:hlinkClick xmlns:r="http://schemas.openxmlformats.org/officeDocument/2006/relationships" r:id="rId2"/>
          <a:extLst>
            <a:ext uri="{FF2B5EF4-FFF2-40B4-BE49-F238E27FC236}">
              <a16:creationId xmlns:a16="http://schemas.microsoft.com/office/drawing/2014/main" id="{7E0B7B47-84C6-4103-B17E-CBE9FBD65EDE}"/>
            </a:ext>
          </a:extLst>
        </xdr:cNvPr>
        <xdr:cNvSpPr txBox="1"/>
      </xdr:nvSpPr>
      <xdr:spPr>
        <a:xfrm>
          <a:off x="3579202" y="0"/>
          <a:ext cx="2242039"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4</xdr:col>
      <xdr:colOff>761726</xdr:colOff>
      <xdr:row>0</xdr:row>
      <xdr:rowOff>0</xdr:rowOff>
    </xdr:from>
    <xdr:to>
      <xdr:col>7</xdr:col>
      <xdr:colOff>487973</xdr:colOff>
      <xdr:row>1</xdr:row>
      <xdr:rowOff>422</xdr:rowOff>
    </xdr:to>
    <xdr:sp macro="" textlink="Lan!F83">
      <xdr:nvSpPr>
        <xdr:cNvPr id="9" name="TextBox 3">
          <a:hlinkClick xmlns:r="http://schemas.openxmlformats.org/officeDocument/2006/relationships" r:id="rId3"/>
          <a:extLst>
            <a:ext uri="{FF2B5EF4-FFF2-40B4-BE49-F238E27FC236}">
              <a16:creationId xmlns:a16="http://schemas.microsoft.com/office/drawing/2014/main" id="{0C73C4C1-FEE9-4665-A737-46DF55D9DD1C}"/>
            </a:ext>
          </a:extLst>
        </xdr:cNvPr>
        <xdr:cNvSpPr txBox="1"/>
      </xdr:nvSpPr>
      <xdr:spPr>
        <a:xfrm>
          <a:off x="5867126" y="0"/>
          <a:ext cx="1793172"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7</xdr:col>
      <xdr:colOff>531382</xdr:colOff>
      <xdr:row>0</xdr:row>
      <xdr:rowOff>0</xdr:rowOff>
    </xdr:from>
    <xdr:to>
      <xdr:col>11</xdr:col>
      <xdr:colOff>86455</xdr:colOff>
      <xdr:row>1</xdr:row>
      <xdr:rowOff>422</xdr:rowOff>
    </xdr:to>
    <xdr:sp macro="" textlink="Lan!F86">
      <xdr:nvSpPr>
        <xdr:cNvPr id="10" name="TextBox 3">
          <a:hlinkClick xmlns:r="http://schemas.openxmlformats.org/officeDocument/2006/relationships" r:id="rId4"/>
          <a:extLst>
            <a:ext uri="{FF2B5EF4-FFF2-40B4-BE49-F238E27FC236}">
              <a16:creationId xmlns:a16="http://schemas.microsoft.com/office/drawing/2014/main" id="{2A7E763B-D2EB-4BFC-B0BA-F4106C136272}"/>
            </a:ext>
          </a:extLst>
        </xdr:cNvPr>
        <xdr:cNvSpPr txBox="1"/>
      </xdr:nvSpPr>
      <xdr:spPr>
        <a:xfrm>
          <a:off x="7703707" y="0"/>
          <a:ext cx="1993473"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1485900</xdr:colOff>
      <xdr:row>0</xdr:row>
      <xdr:rowOff>0</xdr:rowOff>
    </xdr:from>
    <xdr:to>
      <xdr:col>1</xdr:col>
      <xdr:colOff>1984131</xdr:colOff>
      <xdr:row>0</xdr:row>
      <xdr:rowOff>481496</xdr:rowOff>
    </xdr:to>
    <xdr:pic>
      <xdr:nvPicPr>
        <xdr:cNvPr id="11" name="Imagen 10"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0B4AF466-9852-4146-ABE4-ECABA8DD5721}"/>
            </a:ext>
          </a:extLst>
        </xdr:cNvPr>
        <xdr:cNvPicPr>
          <a:picLocks noChangeAspect="1" noChangeArrowheads="1"/>
        </xdr:cNvPicPr>
      </xdr:nvPicPr>
      <xdr:blipFill rotWithShape="1">
        <a:blip xmlns:r="http://schemas.openxmlformats.org/officeDocument/2006/relationships" r:embed="rId5" cstate="print">
          <a:duotone>
            <a:schemeClr val="bg2">
              <a:shade val="45000"/>
              <a:satMod val="135000"/>
            </a:schemeClr>
            <a:prstClr val="white"/>
          </a:duotone>
          <a:extLst>
            <a:ext uri="{28A0092B-C50C-407E-A947-70E740481C1C}">
              <a14:useLocalDpi xmlns:a14="http://schemas.microsoft.com/office/drawing/2010/main" val="0"/>
            </a:ext>
          </a:extLst>
        </a:blip>
        <a:srcRect l="8555" r="8739" b="1493"/>
        <a:stretch/>
      </xdr:blipFill>
      <xdr:spPr bwMode="auto">
        <a:xfrm>
          <a:off x="1666875"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1258033</xdr:colOff>
      <xdr:row>0</xdr:row>
      <xdr:rowOff>14654</xdr:rowOff>
    </xdr:from>
    <xdr:to>
      <xdr:col>3</xdr:col>
      <xdr:colOff>345829</xdr:colOff>
      <xdr:row>0</xdr:row>
      <xdr:rowOff>485740</xdr:rowOff>
    </xdr:to>
    <xdr:pic>
      <xdr:nvPicPr>
        <xdr:cNvPr id="12" name="Imagen 11"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AAE2808B-C7D6-4F09-9095-138C0EB694F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0118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781783</xdr:colOff>
      <xdr:row>0</xdr:row>
      <xdr:rowOff>0</xdr:rowOff>
    </xdr:from>
    <xdr:to>
      <xdr:col>4</xdr:col>
      <xdr:colOff>1177436</xdr:colOff>
      <xdr:row>0</xdr:row>
      <xdr:rowOff>476812</xdr:rowOff>
    </xdr:to>
    <xdr:pic>
      <xdr:nvPicPr>
        <xdr:cNvPr id="13" name="Imagen 12" descr="report - Image Storage - Reedsburg, Wisconsin">
          <a:hlinkClick xmlns:r="http://schemas.openxmlformats.org/officeDocument/2006/relationships" r:id="rId3"/>
          <a:extLst>
            <a:ext uri="{FF2B5EF4-FFF2-40B4-BE49-F238E27FC236}">
              <a16:creationId xmlns:a16="http://schemas.microsoft.com/office/drawing/2014/main" id="{BDF20F5C-C1E0-4EBE-9E3C-D8BE957EB62B}"/>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887183"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546586</xdr:colOff>
      <xdr:row>0</xdr:row>
      <xdr:rowOff>14654</xdr:rowOff>
    </xdr:from>
    <xdr:to>
      <xdr:col>8</xdr:col>
      <xdr:colOff>515813</xdr:colOff>
      <xdr:row>0</xdr:row>
      <xdr:rowOff>492340</xdr:rowOff>
    </xdr:to>
    <xdr:pic>
      <xdr:nvPicPr>
        <xdr:cNvPr id="14" name="Imagen 13" descr="Dashboards Icon #145224 - Free Icons Library">
          <a:hlinkClick xmlns:r="http://schemas.openxmlformats.org/officeDocument/2006/relationships" r:id="rId4"/>
          <a:extLst>
            <a:ext uri="{FF2B5EF4-FFF2-40B4-BE49-F238E27FC236}">
              <a16:creationId xmlns:a16="http://schemas.microsoft.com/office/drawing/2014/main" id="{00369C9D-5F99-4F17-9D5B-D1852D48578D}"/>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718911"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323850</xdr:colOff>
      <xdr:row>1</xdr:row>
      <xdr:rowOff>9525</xdr:rowOff>
    </xdr:from>
    <xdr:to>
      <xdr:col>3</xdr:col>
      <xdr:colOff>321049</xdr:colOff>
      <xdr:row>1</xdr:row>
      <xdr:rowOff>312084</xdr:rowOff>
    </xdr:to>
    <xdr:sp macro="" textlink="Lan!F11">
      <xdr:nvSpPr>
        <xdr:cNvPr id="15" name="Rectángulo 14">
          <a:hlinkClick xmlns:r="http://schemas.openxmlformats.org/officeDocument/2006/relationships" r:id="rId1"/>
          <a:extLst>
            <a:ext uri="{FF2B5EF4-FFF2-40B4-BE49-F238E27FC236}">
              <a16:creationId xmlns:a16="http://schemas.microsoft.com/office/drawing/2014/main" id="{C7BBE601-F22D-4FBB-AEBB-D06CF49E1A89}"/>
            </a:ext>
          </a:extLst>
        </xdr:cNvPr>
        <xdr:cNvSpPr/>
      </xdr:nvSpPr>
      <xdr:spPr>
        <a:xfrm>
          <a:off x="2667000" y="504825"/>
          <a:ext cx="1378324"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F4A4291-EC07-492D-8416-816EC53E087B}" type="TxLink">
            <a:rPr lang="en-US" sz="1100" b="1" i="0" u="none" strike="noStrike">
              <a:solidFill>
                <a:schemeClr val="tx1"/>
              </a:solidFill>
              <a:latin typeface="CALIBRI"/>
              <a:cs typeface="CALIBRI"/>
            </a:rPr>
            <a:pPr algn="ctr"/>
            <a:t>1. AJUSTES</a:t>
          </a:fld>
          <a:endParaRPr lang="en-US" sz="1400" b="1">
            <a:solidFill>
              <a:schemeClr val="tx1"/>
            </a:solidFill>
          </a:endParaRPr>
        </a:p>
      </xdr:txBody>
    </xdr:sp>
    <xdr:clientData/>
  </xdr:twoCellAnchor>
  <xdr:twoCellAnchor>
    <xdr:from>
      <xdr:col>3</xdr:col>
      <xdr:colOff>337858</xdr:colOff>
      <xdr:row>1</xdr:row>
      <xdr:rowOff>9526</xdr:rowOff>
    </xdr:from>
    <xdr:to>
      <xdr:col>4</xdr:col>
      <xdr:colOff>449357</xdr:colOff>
      <xdr:row>1</xdr:row>
      <xdr:rowOff>312645</xdr:rowOff>
    </xdr:to>
    <xdr:sp macro="" textlink="Lan!F12">
      <xdr:nvSpPr>
        <xdr:cNvPr id="16" name="Rectángulo 15">
          <a:hlinkClick xmlns:r="http://schemas.openxmlformats.org/officeDocument/2006/relationships" r:id="rId10"/>
          <a:extLst>
            <a:ext uri="{FF2B5EF4-FFF2-40B4-BE49-F238E27FC236}">
              <a16:creationId xmlns:a16="http://schemas.microsoft.com/office/drawing/2014/main" id="{25E4EBDB-60CC-4EC9-BC4C-B6C14774E77A}"/>
            </a:ext>
          </a:extLst>
        </xdr:cNvPr>
        <xdr:cNvSpPr/>
      </xdr:nvSpPr>
      <xdr:spPr>
        <a:xfrm>
          <a:off x="4062133" y="504826"/>
          <a:ext cx="1492624" cy="30311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5B779C3-D24A-4EDA-992F-42D5E87E954F}" type="TxLink">
            <a:rPr lang="en-US" sz="1100" b="1" i="0" u="none" strike="noStrike">
              <a:solidFill>
                <a:schemeClr val="bg1"/>
              </a:solidFill>
              <a:latin typeface="CALIBRI"/>
              <a:cs typeface="CALIBRI"/>
            </a:rPr>
            <a:pPr algn="ctr"/>
            <a:t>1.1. Áreas estratégicas</a:t>
          </a:fld>
          <a:endParaRPr lang="en-US" sz="1400" b="1">
            <a:solidFill>
              <a:schemeClr val="bg1"/>
            </a:solidFill>
          </a:endParaRPr>
        </a:p>
      </xdr:txBody>
    </xdr:sp>
    <xdr:clientData/>
  </xdr:twoCellAnchor>
  <xdr:twoCellAnchor>
    <xdr:from>
      <xdr:col>4</xdr:col>
      <xdr:colOff>467285</xdr:colOff>
      <xdr:row>1</xdr:row>
      <xdr:rowOff>9526</xdr:rowOff>
    </xdr:from>
    <xdr:to>
      <xdr:col>7</xdr:col>
      <xdr:colOff>476250</xdr:colOff>
      <xdr:row>1</xdr:row>
      <xdr:rowOff>312645</xdr:rowOff>
    </xdr:to>
    <xdr:sp macro="" textlink="Lan!F21">
      <xdr:nvSpPr>
        <xdr:cNvPr id="17" name="Rectángulo 16">
          <a:hlinkClick xmlns:r="http://schemas.openxmlformats.org/officeDocument/2006/relationships" r:id="rId11"/>
          <a:extLst>
            <a:ext uri="{FF2B5EF4-FFF2-40B4-BE49-F238E27FC236}">
              <a16:creationId xmlns:a16="http://schemas.microsoft.com/office/drawing/2014/main" id="{09A27F74-CDAC-4A36-8129-44A07E485337}"/>
            </a:ext>
          </a:extLst>
        </xdr:cNvPr>
        <xdr:cNvSpPr/>
      </xdr:nvSpPr>
      <xdr:spPr>
        <a:xfrm>
          <a:off x="5572685" y="504826"/>
          <a:ext cx="2075890" cy="30311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3CB125C-7A34-4B6E-8B21-4BAC27A0130F}" type="TxLink">
            <a:rPr lang="en-US" sz="1100" b="1" i="0" u="none" strike="noStrike">
              <a:solidFill>
                <a:schemeClr val="bg1"/>
              </a:solidFill>
              <a:latin typeface="CALIBRI"/>
              <a:cs typeface="CALIBRI"/>
            </a:rPr>
            <a:pPr algn="ctr"/>
            <a:t>1.2. Gerentes | Administradores</a:t>
          </a:fld>
          <a:endParaRPr lang="en-US" sz="1400" b="1">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2</xdr:col>
      <xdr:colOff>0</xdr:colOff>
      <xdr:row>0</xdr:row>
      <xdr:rowOff>0</xdr:rowOff>
    </xdr:from>
    <xdr:to>
      <xdr:col>3</xdr:col>
      <xdr:colOff>145074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E0A597BE-825C-42DE-8D18-D46865F033A5}"/>
            </a:ext>
          </a:extLst>
        </xdr:cNvPr>
        <xdr:cNvSpPr txBox="1"/>
      </xdr:nvSpPr>
      <xdr:spPr>
        <a:xfrm>
          <a:off x="1895475"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3</xdr:col>
      <xdr:colOff>196362</xdr:colOff>
      <xdr:row>0</xdr:row>
      <xdr:rowOff>0</xdr:rowOff>
    </xdr:from>
    <xdr:to>
      <xdr:col>4</xdr:col>
      <xdr:colOff>722435</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506F0599-0E29-43CA-B90C-66D580BC1F38}"/>
            </a:ext>
          </a:extLst>
        </xdr:cNvPr>
        <xdr:cNvSpPr txBox="1"/>
      </xdr:nvSpPr>
      <xdr:spPr>
        <a:xfrm>
          <a:off x="3806337"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4</xdr:col>
      <xdr:colOff>768320</xdr:colOff>
      <xdr:row>0</xdr:row>
      <xdr:rowOff>0</xdr:rowOff>
    </xdr:from>
    <xdr:to>
      <xdr:col>5</xdr:col>
      <xdr:colOff>845527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411E465D-0EF1-4E45-B306-7D74920DEF11}"/>
            </a:ext>
          </a:extLst>
        </xdr:cNvPr>
        <xdr:cNvSpPr txBox="1"/>
      </xdr:nvSpPr>
      <xdr:spPr>
        <a:xfrm>
          <a:off x="6092795"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5</xdr:col>
      <xdr:colOff>888936</xdr:colOff>
      <xdr:row>0</xdr:row>
      <xdr:rowOff>0</xdr:rowOff>
    </xdr:from>
    <xdr:to>
      <xdr:col>6</xdr:col>
      <xdr:colOff>833068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C27C212C-D171-445A-B731-F7529900B5B4}"/>
            </a:ext>
          </a:extLst>
        </xdr:cNvPr>
        <xdr:cNvSpPr txBox="1"/>
      </xdr:nvSpPr>
      <xdr:spPr>
        <a:xfrm>
          <a:off x="7927911"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0</xdr:colOff>
      <xdr:row>0</xdr:row>
      <xdr:rowOff>0</xdr:rowOff>
    </xdr:from>
    <xdr:to>
      <xdr:col>2</xdr:col>
      <xdr:colOff>498231</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9CDD13BE-A29C-4665-9993-F86D883C963B}"/>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895475"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218343</xdr:colOff>
      <xdr:row>0</xdr:row>
      <xdr:rowOff>14654</xdr:rowOff>
    </xdr:from>
    <xdr:to>
      <xdr:col>3</xdr:col>
      <xdr:colOff>687264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A51A626A-0C56-4324-BC4E-39FAB28C020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28318"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788377</xdr:colOff>
      <xdr:row>0</xdr:row>
      <xdr:rowOff>0</xdr:rowOff>
    </xdr:from>
    <xdr:to>
      <xdr:col>4</xdr:col>
      <xdr:colOff>1184030</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A1D09BF1-FB50-4032-A237-B311EE73BB99}"/>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112852"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904140</xdr:colOff>
      <xdr:row>0</xdr:row>
      <xdr:rowOff>14654</xdr:rowOff>
    </xdr:from>
    <xdr:to>
      <xdr:col>5</xdr:col>
      <xdr:colOff>1482967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34D7DB2B-2B9B-4CB4-B4E7-090E8D0B4B68}"/>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943115"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885825</xdr:colOff>
      <xdr:row>1</xdr:row>
      <xdr:rowOff>9525</xdr:rowOff>
    </xdr:from>
    <xdr:to>
      <xdr:col>3</xdr:col>
      <xdr:colOff>1221442</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FBE42BAA-7496-4BC3-974F-DF077560F950}"/>
            </a:ext>
          </a:extLst>
        </xdr:cNvPr>
        <xdr:cNvSpPr/>
      </xdr:nvSpPr>
      <xdr:spPr>
        <a:xfrm>
          <a:off x="2781300"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3</xdr:col>
      <xdr:colOff>1230533</xdr:colOff>
      <xdr:row>1</xdr:row>
      <xdr:rowOff>9525</xdr:rowOff>
    </xdr:from>
    <xdr:to>
      <xdr:col>4</xdr:col>
      <xdr:colOff>840874</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90EF43EB-F8C4-440D-BDB1-9CCC8265E157}"/>
            </a:ext>
          </a:extLst>
        </xdr:cNvPr>
        <xdr:cNvSpPr/>
      </xdr:nvSpPr>
      <xdr:spPr>
        <a:xfrm>
          <a:off x="4840508"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4</xdr:col>
      <xdr:colOff>850400</xdr:colOff>
      <xdr:row>1</xdr:row>
      <xdr:rowOff>9525</xdr:rowOff>
    </xdr:from>
    <xdr:to>
      <xdr:col>5</xdr:col>
      <xdr:colOff>287559</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866952A8-3361-4755-A22C-827CDBB70916}"/>
            </a:ext>
          </a:extLst>
        </xdr:cNvPr>
        <xdr:cNvSpPr/>
      </xdr:nvSpPr>
      <xdr:spPr>
        <a:xfrm>
          <a:off x="6174875"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5</xdr:col>
      <xdr:colOff>307042</xdr:colOff>
      <xdr:row>1</xdr:row>
      <xdr:rowOff>9525</xdr:rowOff>
    </xdr:from>
    <xdr:to>
      <xdr:col>6</xdr:col>
      <xdr:colOff>21292</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437A3C66-8D82-4873-9E05-D5FBBF217C61}"/>
            </a:ext>
          </a:extLst>
        </xdr:cNvPr>
        <xdr:cNvSpPr/>
      </xdr:nvSpPr>
      <xdr:spPr>
        <a:xfrm>
          <a:off x="7346017"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6</xdr:col>
      <xdr:colOff>40342</xdr:colOff>
      <xdr:row>1</xdr:row>
      <xdr:rowOff>9525</xdr:rowOff>
    </xdr:from>
    <xdr:to>
      <xdr:col>7</xdr:col>
      <xdr:colOff>116542</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EC71CA58-59B2-4FF2-A0F5-D15AB23E4A96}"/>
            </a:ext>
          </a:extLst>
        </xdr:cNvPr>
        <xdr:cNvSpPr/>
      </xdr:nvSpPr>
      <xdr:spPr>
        <a:xfrm>
          <a:off x="9127192" y="504825"/>
          <a:ext cx="14573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tx1"/>
              </a:solidFill>
              <a:latin typeface="CALIBRI"/>
              <a:cs typeface="CALIBRI"/>
            </a:rPr>
            <a:pPr algn="ctr"/>
            <a:t>2.5. Plan de acción</a:t>
          </a:fld>
          <a:endParaRPr lang="en-US" sz="3200" b="1">
            <a:solidFill>
              <a:schemeClr val="tx1"/>
            </a:solidFill>
          </a:endParaRPr>
        </a:p>
      </xdr:txBody>
    </xdr:sp>
    <xdr:clientData/>
  </xdr:twoCellAnchor>
  <xdr:twoCellAnchor>
    <xdr:from>
      <xdr:col>5</xdr:col>
      <xdr:colOff>247650</xdr:colOff>
      <xdr:row>2</xdr:row>
      <xdr:rowOff>66675</xdr:rowOff>
    </xdr:from>
    <xdr:to>
      <xdr:col>5</xdr:col>
      <xdr:colOff>1452051</xdr:colOff>
      <xdr:row>3</xdr:row>
      <xdr:rowOff>58516</xdr:rowOff>
    </xdr:to>
    <xdr:sp macro="" textlink="'AP1'!B10">
      <xdr:nvSpPr>
        <xdr:cNvPr id="15" name="Rectángulo 14">
          <a:hlinkClick xmlns:r="http://schemas.openxmlformats.org/officeDocument/2006/relationships" r:id="rId13"/>
          <a:extLst>
            <a:ext uri="{FF2B5EF4-FFF2-40B4-BE49-F238E27FC236}">
              <a16:creationId xmlns:a16="http://schemas.microsoft.com/office/drawing/2014/main" id="{F38449CC-6299-4C6C-8C0C-D03A247481D6}"/>
            </a:ext>
          </a:extLst>
        </xdr:cNvPr>
        <xdr:cNvSpPr/>
      </xdr:nvSpPr>
      <xdr:spPr>
        <a:xfrm>
          <a:off x="72866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7FBC704-5B6D-491A-AE2B-9577AAFBC21B}" type="TxLink">
            <a:rPr lang="en-US" sz="1200" b="1" i="0" u="none" strike="noStrike">
              <a:solidFill>
                <a:schemeClr val="bg1"/>
              </a:solidFill>
              <a:latin typeface="Calibri"/>
              <a:cs typeface="Calibri"/>
            </a:rPr>
            <a:pPr algn="ctr"/>
            <a:t>Meta 1</a:t>
          </a:fld>
          <a:endParaRPr lang="en-US" sz="1200" b="1" i="0" u="none" strike="noStrike">
            <a:solidFill>
              <a:schemeClr val="bg1"/>
            </a:solidFill>
            <a:latin typeface="Calibri"/>
            <a:cs typeface="Calibri"/>
          </a:endParaRPr>
        </a:p>
      </xdr:txBody>
    </xdr:sp>
    <xdr:clientData/>
  </xdr:twoCellAnchor>
  <xdr:twoCellAnchor>
    <xdr:from>
      <xdr:col>5</xdr:col>
      <xdr:colOff>1504950</xdr:colOff>
      <xdr:row>2</xdr:row>
      <xdr:rowOff>66675</xdr:rowOff>
    </xdr:from>
    <xdr:to>
      <xdr:col>6</xdr:col>
      <xdr:colOff>661476</xdr:colOff>
      <xdr:row>3</xdr:row>
      <xdr:rowOff>58516</xdr:rowOff>
    </xdr:to>
    <xdr:sp macro="" textlink="'AP1'!C10">
      <xdr:nvSpPr>
        <xdr:cNvPr id="16" name="Rectángulo 15">
          <a:hlinkClick xmlns:r="http://schemas.openxmlformats.org/officeDocument/2006/relationships" r:id="rId14"/>
          <a:extLst>
            <a:ext uri="{FF2B5EF4-FFF2-40B4-BE49-F238E27FC236}">
              <a16:creationId xmlns:a16="http://schemas.microsoft.com/office/drawing/2014/main" id="{7217D8D6-620D-469C-B6E8-12D278B18D67}"/>
            </a:ext>
          </a:extLst>
        </xdr:cNvPr>
        <xdr:cNvSpPr/>
      </xdr:nvSpPr>
      <xdr:spPr>
        <a:xfrm>
          <a:off x="8543925" y="876300"/>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DD00A0B-B878-460E-A94B-3BB9DAC07330}" type="TxLink">
            <a:rPr lang="en-US" sz="1200" b="1" i="0" u="none" strike="noStrike">
              <a:solidFill>
                <a:schemeClr val="tx1"/>
              </a:solidFill>
              <a:latin typeface="Calibri"/>
              <a:cs typeface="Calibri"/>
            </a:rPr>
            <a:pPr algn="ctr"/>
            <a:t>Meta 2</a:t>
          </a:fld>
          <a:endParaRPr lang="en-US">
            <a:solidFill>
              <a:schemeClr val="tx1"/>
            </a:solidFill>
          </a:endParaRPr>
        </a:p>
      </xdr:txBody>
    </xdr:sp>
    <xdr:clientData/>
  </xdr:twoCellAnchor>
  <xdr:twoCellAnchor>
    <xdr:from>
      <xdr:col>6</xdr:col>
      <xdr:colOff>714375</xdr:colOff>
      <xdr:row>2</xdr:row>
      <xdr:rowOff>66675</xdr:rowOff>
    </xdr:from>
    <xdr:to>
      <xdr:col>7</xdr:col>
      <xdr:colOff>537651</xdr:colOff>
      <xdr:row>3</xdr:row>
      <xdr:rowOff>58516</xdr:rowOff>
    </xdr:to>
    <xdr:sp macro="" textlink="'AP1'!D10">
      <xdr:nvSpPr>
        <xdr:cNvPr id="17" name="Rectángulo 16">
          <a:hlinkClick xmlns:r="http://schemas.openxmlformats.org/officeDocument/2006/relationships" r:id="rId15"/>
          <a:extLst>
            <a:ext uri="{FF2B5EF4-FFF2-40B4-BE49-F238E27FC236}">
              <a16:creationId xmlns:a16="http://schemas.microsoft.com/office/drawing/2014/main" id="{DC7C94F0-6C6A-4B38-8FC6-DB7F837BAFBF}"/>
            </a:ext>
          </a:extLst>
        </xdr:cNvPr>
        <xdr:cNvSpPr/>
      </xdr:nvSpPr>
      <xdr:spPr>
        <a:xfrm>
          <a:off x="98012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462561C-C0B5-4D23-A45C-45F042767EE4}" type="TxLink">
            <a:rPr lang="en-US" sz="1200" b="1" i="0" u="none" strike="noStrike">
              <a:solidFill>
                <a:srgbClr val="FFFFFF"/>
              </a:solidFill>
              <a:latin typeface="Calibri"/>
              <a:cs typeface="Calibri"/>
            </a:rPr>
            <a:pPr algn="ctr"/>
            <a:t>Meta 3</a:t>
          </a:fld>
          <a:endParaRPr lang="en-US" sz="1200" b="1" i="0" u="none" strike="noStrike">
            <a:solidFill>
              <a:schemeClr val="bg1"/>
            </a:solidFill>
            <a:latin typeface="Calibri"/>
            <a:cs typeface="Calibri"/>
          </a:endParaRPr>
        </a:p>
      </xdr:txBody>
    </xdr:sp>
    <xdr:clientData/>
  </xdr:twoCellAnchor>
  <xdr:twoCellAnchor>
    <xdr:from>
      <xdr:col>7</xdr:col>
      <xdr:colOff>590550</xdr:colOff>
      <xdr:row>2</xdr:row>
      <xdr:rowOff>66675</xdr:rowOff>
    </xdr:from>
    <xdr:to>
      <xdr:col>9</xdr:col>
      <xdr:colOff>413826</xdr:colOff>
      <xdr:row>3</xdr:row>
      <xdr:rowOff>58516</xdr:rowOff>
    </xdr:to>
    <xdr:sp macro="" textlink="'AP1'!E10">
      <xdr:nvSpPr>
        <xdr:cNvPr id="18" name="Rectángulo 17">
          <a:hlinkClick xmlns:r="http://schemas.openxmlformats.org/officeDocument/2006/relationships" r:id="rId16"/>
          <a:extLst>
            <a:ext uri="{FF2B5EF4-FFF2-40B4-BE49-F238E27FC236}">
              <a16:creationId xmlns:a16="http://schemas.microsoft.com/office/drawing/2014/main" id="{909CC60C-185E-46DF-A30E-D446275B768D}"/>
            </a:ext>
          </a:extLst>
        </xdr:cNvPr>
        <xdr:cNvSpPr/>
      </xdr:nvSpPr>
      <xdr:spPr>
        <a:xfrm>
          <a:off x="110585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BDB60270-A381-415D-B1D5-9C4A7A259109}" type="TxLink">
            <a:rPr lang="en-US" sz="1200" b="1" i="0" u="none" strike="noStrike">
              <a:solidFill>
                <a:srgbClr val="FFFFFF"/>
              </a:solidFill>
              <a:latin typeface="Calibri"/>
              <a:cs typeface="Calibri"/>
            </a:rPr>
            <a:pPr algn="ctr"/>
            <a:t>Meta 4</a:t>
          </a:fld>
          <a:endParaRPr lang="en-US" sz="1200" b="1" i="0" u="none" strike="noStrike">
            <a:solidFill>
              <a:srgbClr val="FFFFFF"/>
            </a:solidFill>
            <a:latin typeface="Calibri"/>
            <a:cs typeface="Calibri"/>
          </a:endParaRPr>
        </a:p>
      </xdr:txBody>
    </xdr:sp>
    <xdr:clientData/>
  </xdr:twoCellAnchor>
  <xdr:twoCellAnchor>
    <xdr:from>
      <xdr:col>9</xdr:col>
      <xdr:colOff>466725</xdr:colOff>
      <xdr:row>2</xdr:row>
      <xdr:rowOff>66675</xdr:rowOff>
    </xdr:from>
    <xdr:to>
      <xdr:col>10</xdr:col>
      <xdr:colOff>556701</xdr:colOff>
      <xdr:row>3</xdr:row>
      <xdr:rowOff>58516</xdr:rowOff>
    </xdr:to>
    <xdr:sp macro="" textlink="'AP1'!F10">
      <xdr:nvSpPr>
        <xdr:cNvPr id="19" name="Rectángulo 18">
          <a:hlinkClick xmlns:r="http://schemas.openxmlformats.org/officeDocument/2006/relationships" r:id="rId17"/>
          <a:extLst>
            <a:ext uri="{FF2B5EF4-FFF2-40B4-BE49-F238E27FC236}">
              <a16:creationId xmlns:a16="http://schemas.microsoft.com/office/drawing/2014/main" id="{78DF0862-CC83-4FC7-A1F2-C83EA19CA5DF}"/>
            </a:ext>
          </a:extLst>
        </xdr:cNvPr>
        <xdr:cNvSpPr/>
      </xdr:nvSpPr>
      <xdr:spPr>
        <a:xfrm>
          <a:off x="123158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1F3F83AA-5A39-4061-88E2-5A91A9339F55}" type="TxLink">
            <a:rPr lang="en-US" sz="1200" b="1" i="0" u="none" strike="noStrike">
              <a:solidFill>
                <a:srgbClr val="FFFFFF"/>
              </a:solidFill>
              <a:latin typeface="Calibri"/>
              <a:cs typeface="Calibri"/>
            </a:rPr>
            <a:pPr algn="ctr"/>
            <a:t>Meta 5</a:t>
          </a:fld>
          <a:endParaRPr lang="en-US" sz="1200" b="1" i="0" u="none" strike="noStrike">
            <a:solidFill>
              <a:schemeClr val="bg1"/>
            </a:solidFill>
            <a:latin typeface="Calibri"/>
            <a:cs typeface="Calibri"/>
          </a:endParaRPr>
        </a:p>
      </xdr:txBody>
    </xdr:sp>
    <xdr:clientData/>
  </xdr:twoCellAnchor>
  <xdr:twoCellAnchor>
    <xdr:from>
      <xdr:col>10</xdr:col>
      <xdr:colOff>609600</xdr:colOff>
      <xdr:row>2</xdr:row>
      <xdr:rowOff>66675</xdr:rowOff>
    </xdr:from>
    <xdr:to>
      <xdr:col>11</xdr:col>
      <xdr:colOff>832926</xdr:colOff>
      <xdr:row>3</xdr:row>
      <xdr:rowOff>58516</xdr:rowOff>
    </xdr:to>
    <xdr:sp macro="" textlink="'AP1'!G10">
      <xdr:nvSpPr>
        <xdr:cNvPr id="20" name="Rectángulo 19">
          <a:hlinkClick xmlns:r="http://schemas.openxmlformats.org/officeDocument/2006/relationships" r:id="rId18"/>
          <a:extLst>
            <a:ext uri="{FF2B5EF4-FFF2-40B4-BE49-F238E27FC236}">
              <a16:creationId xmlns:a16="http://schemas.microsoft.com/office/drawing/2014/main" id="{C4065891-534A-4990-8192-4091F4AF1A1C}"/>
            </a:ext>
          </a:extLst>
        </xdr:cNvPr>
        <xdr:cNvSpPr/>
      </xdr:nvSpPr>
      <xdr:spPr>
        <a:xfrm>
          <a:off x="135731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7869B3-A561-4D4A-B111-9C4356931955}" type="TxLink">
            <a:rPr lang="en-US" sz="1200" b="1" i="0" u="none" strike="noStrike">
              <a:solidFill>
                <a:srgbClr val="FFFFFF"/>
              </a:solidFill>
              <a:latin typeface="Calibri"/>
              <a:cs typeface="Calibri"/>
            </a:rPr>
            <a:pPr algn="ctr"/>
            <a:t>Meta 6</a:t>
          </a:fld>
          <a:endParaRPr lang="en-US" sz="1200" b="1" i="0" u="none" strike="noStrike">
            <a:solidFill>
              <a:schemeClr val="bg1"/>
            </a:solidFill>
            <a:latin typeface="Calibri"/>
            <a:cs typeface="Calibri"/>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2</xdr:col>
      <xdr:colOff>9525</xdr:colOff>
      <xdr:row>0</xdr:row>
      <xdr:rowOff>0</xdr:rowOff>
    </xdr:from>
    <xdr:to>
      <xdr:col>3</xdr:col>
      <xdr:colOff>154599</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65A0BE16-5716-4768-A7E4-6C9B6CAE070F}"/>
            </a:ext>
          </a:extLst>
        </xdr:cNvPr>
        <xdr:cNvSpPr txBox="1"/>
      </xdr:nvSpPr>
      <xdr:spPr>
        <a:xfrm>
          <a:off x="19050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3</xdr:col>
      <xdr:colOff>205887</xdr:colOff>
      <xdr:row>0</xdr:row>
      <xdr:rowOff>0</xdr:rowOff>
    </xdr:from>
    <xdr:to>
      <xdr:col>4</xdr:col>
      <xdr:colOff>731960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DD8D92A8-D195-4249-A292-20152268D2FE}"/>
            </a:ext>
          </a:extLst>
        </xdr:cNvPr>
        <xdr:cNvSpPr txBox="1"/>
      </xdr:nvSpPr>
      <xdr:spPr>
        <a:xfrm>
          <a:off x="381586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4</xdr:col>
      <xdr:colOff>777845</xdr:colOff>
      <xdr:row>0</xdr:row>
      <xdr:rowOff>0</xdr:rowOff>
    </xdr:from>
    <xdr:to>
      <xdr:col>5</xdr:col>
      <xdr:colOff>855052</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3F3BE484-379D-493A-9672-57FEE1C9C1E9}"/>
            </a:ext>
          </a:extLst>
        </xdr:cNvPr>
        <xdr:cNvSpPr txBox="1"/>
      </xdr:nvSpPr>
      <xdr:spPr>
        <a:xfrm>
          <a:off x="61023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5</xdr:col>
      <xdr:colOff>898461</xdr:colOff>
      <xdr:row>0</xdr:row>
      <xdr:rowOff>0</xdr:rowOff>
    </xdr:from>
    <xdr:to>
      <xdr:col>6</xdr:col>
      <xdr:colOff>842593</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C339E983-95C7-4FA9-A9B0-D00E0735014E}"/>
            </a:ext>
          </a:extLst>
        </xdr:cNvPr>
        <xdr:cNvSpPr txBox="1"/>
      </xdr:nvSpPr>
      <xdr:spPr>
        <a:xfrm>
          <a:off x="79374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9525</xdr:colOff>
      <xdr:row>0</xdr:row>
      <xdr:rowOff>0</xdr:rowOff>
    </xdr:from>
    <xdr:to>
      <xdr:col>2</xdr:col>
      <xdr:colOff>507756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3D90FC16-9845-4E44-A314-8DEFDA632AF6}"/>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9050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227868</xdr:colOff>
      <xdr:row>0</xdr:row>
      <xdr:rowOff>14654</xdr:rowOff>
    </xdr:from>
    <xdr:to>
      <xdr:col>3</xdr:col>
      <xdr:colOff>696789</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A41D5A4A-5CD9-4E7A-BE70-4D7E9A0C498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378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797902</xdr:colOff>
      <xdr:row>0</xdr:row>
      <xdr:rowOff>0</xdr:rowOff>
    </xdr:from>
    <xdr:to>
      <xdr:col>4</xdr:col>
      <xdr:colOff>1193555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F45BF70B-239A-4065-8812-EF787F4587FB}"/>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1223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913665</xdr:colOff>
      <xdr:row>0</xdr:row>
      <xdr:rowOff>14654</xdr:rowOff>
    </xdr:from>
    <xdr:to>
      <xdr:col>5</xdr:col>
      <xdr:colOff>1492492</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0A338392-6812-455A-9162-603453482E65}"/>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9526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876300</xdr:colOff>
      <xdr:row>1</xdr:row>
      <xdr:rowOff>9525</xdr:rowOff>
    </xdr:from>
    <xdr:to>
      <xdr:col>3</xdr:col>
      <xdr:colOff>1211917</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8061DB7E-46C2-4321-9C8F-201C826F7DCA}"/>
            </a:ext>
          </a:extLst>
        </xdr:cNvPr>
        <xdr:cNvSpPr/>
      </xdr:nvSpPr>
      <xdr:spPr>
        <a:xfrm>
          <a:off x="277177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3</xdr:col>
      <xdr:colOff>1221008</xdr:colOff>
      <xdr:row>1</xdr:row>
      <xdr:rowOff>9525</xdr:rowOff>
    </xdr:from>
    <xdr:to>
      <xdr:col>4</xdr:col>
      <xdr:colOff>831349</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EA1C4ECA-A5EB-4494-9AA3-B17397BA0DE8}"/>
            </a:ext>
          </a:extLst>
        </xdr:cNvPr>
        <xdr:cNvSpPr/>
      </xdr:nvSpPr>
      <xdr:spPr>
        <a:xfrm>
          <a:off x="4830983"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4</xdr:col>
      <xdr:colOff>840875</xdr:colOff>
      <xdr:row>1</xdr:row>
      <xdr:rowOff>9525</xdr:rowOff>
    </xdr:from>
    <xdr:to>
      <xdr:col>5</xdr:col>
      <xdr:colOff>278034</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C6EB6DB6-9DF8-4644-B3E5-4E767B16A792}"/>
            </a:ext>
          </a:extLst>
        </xdr:cNvPr>
        <xdr:cNvSpPr/>
      </xdr:nvSpPr>
      <xdr:spPr>
        <a:xfrm>
          <a:off x="6165350"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5</xdr:col>
      <xdr:colOff>297517</xdr:colOff>
      <xdr:row>1</xdr:row>
      <xdr:rowOff>9525</xdr:rowOff>
    </xdr:from>
    <xdr:to>
      <xdr:col>6</xdr:col>
      <xdr:colOff>11767</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77D30940-CEB0-4F79-B547-DF1C492760A1}"/>
            </a:ext>
          </a:extLst>
        </xdr:cNvPr>
        <xdr:cNvSpPr/>
      </xdr:nvSpPr>
      <xdr:spPr>
        <a:xfrm>
          <a:off x="7336492"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6</xdr:col>
      <xdr:colOff>30817</xdr:colOff>
      <xdr:row>1</xdr:row>
      <xdr:rowOff>9525</xdr:rowOff>
    </xdr:from>
    <xdr:to>
      <xdr:col>7</xdr:col>
      <xdr:colOff>107017</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1CE4B531-FA6B-4C13-99C1-1B84B6D5EFF0}"/>
            </a:ext>
          </a:extLst>
        </xdr:cNvPr>
        <xdr:cNvSpPr/>
      </xdr:nvSpPr>
      <xdr:spPr>
        <a:xfrm>
          <a:off x="9117667" y="504825"/>
          <a:ext cx="14573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tx1"/>
              </a:solidFill>
              <a:latin typeface="CALIBRI"/>
              <a:cs typeface="CALIBRI"/>
            </a:rPr>
            <a:pPr algn="ctr"/>
            <a:t>2.5. Plan de acción</a:t>
          </a:fld>
          <a:endParaRPr lang="en-US" sz="3200" b="1">
            <a:solidFill>
              <a:schemeClr val="tx1"/>
            </a:solidFill>
          </a:endParaRPr>
        </a:p>
      </xdr:txBody>
    </xdr:sp>
    <xdr:clientData/>
  </xdr:twoCellAnchor>
  <xdr:twoCellAnchor>
    <xdr:from>
      <xdr:col>5</xdr:col>
      <xdr:colOff>247650</xdr:colOff>
      <xdr:row>2</xdr:row>
      <xdr:rowOff>66675</xdr:rowOff>
    </xdr:from>
    <xdr:to>
      <xdr:col>5</xdr:col>
      <xdr:colOff>1452051</xdr:colOff>
      <xdr:row>3</xdr:row>
      <xdr:rowOff>58516</xdr:rowOff>
    </xdr:to>
    <xdr:sp macro="" textlink="'AP1'!B10">
      <xdr:nvSpPr>
        <xdr:cNvPr id="15" name="Rectángulo 14">
          <a:hlinkClick xmlns:r="http://schemas.openxmlformats.org/officeDocument/2006/relationships" r:id="rId13"/>
          <a:extLst>
            <a:ext uri="{FF2B5EF4-FFF2-40B4-BE49-F238E27FC236}">
              <a16:creationId xmlns:a16="http://schemas.microsoft.com/office/drawing/2014/main" id="{6FF58207-7C08-4F8F-95A9-468ECBA6C8AE}"/>
            </a:ext>
          </a:extLst>
        </xdr:cNvPr>
        <xdr:cNvSpPr/>
      </xdr:nvSpPr>
      <xdr:spPr>
        <a:xfrm>
          <a:off x="72866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7FBC704-5B6D-491A-AE2B-9577AAFBC21B}" type="TxLink">
            <a:rPr lang="en-US" sz="1200" b="1" i="0" u="none" strike="noStrike">
              <a:solidFill>
                <a:schemeClr val="bg1"/>
              </a:solidFill>
              <a:latin typeface="Calibri"/>
              <a:cs typeface="Calibri"/>
            </a:rPr>
            <a:pPr algn="ctr"/>
            <a:t>Meta 1</a:t>
          </a:fld>
          <a:endParaRPr lang="en-US" sz="1200" b="1" i="0" u="none" strike="noStrike">
            <a:solidFill>
              <a:schemeClr val="bg1"/>
            </a:solidFill>
            <a:latin typeface="Calibri"/>
            <a:cs typeface="Calibri"/>
          </a:endParaRPr>
        </a:p>
      </xdr:txBody>
    </xdr:sp>
    <xdr:clientData/>
  </xdr:twoCellAnchor>
  <xdr:twoCellAnchor>
    <xdr:from>
      <xdr:col>5</xdr:col>
      <xdr:colOff>1504950</xdr:colOff>
      <xdr:row>2</xdr:row>
      <xdr:rowOff>66675</xdr:rowOff>
    </xdr:from>
    <xdr:to>
      <xdr:col>6</xdr:col>
      <xdr:colOff>661476</xdr:colOff>
      <xdr:row>3</xdr:row>
      <xdr:rowOff>58516</xdr:rowOff>
    </xdr:to>
    <xdr:sp macro="" textlink="'AP1'!C10">
      <xdr:nvSpPr>
        <xdr:cNvPr id="16" name="Rectángulo 15">
          <a:hlinkClick xmlns:r="http://schemas.openxmlformats.org/officeDocument/2006/relationships" r:id="rId14"/>
          <a:extLst>
            <a:ext uri="{FF2B5EF4-FFF2-40B4-BE49-F238E27FC236}">
              <a16:creationId xmlns:a16="http://schemas.microsoft.com/office/drawing/2014/main" id="{BAAD1B1D-7150-436E-8D5E-1960BBDEA42D}"/>
            </a:ext>
          </a:extLst>
        </xdr:cNvPr>
        <xdr:cNvSpPr/>
      </xdr:nvSpPr>
      <xdr:spPr>
        <a:xfrm>
          <a:off x="85439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DD00A0B-B878-460E-A94B-3BB9DAC07330}" type="TxLink">
            <a:rPr lang="en-US" sz="1200" b="1" i="0" u="none" strike="noStrike">
              <a:solidFill>
                <a:srgbClr val="FFFFFF"/>
              </a:solidFill>
              <a:latin typeface="Calibri"/>
              <a:cs typeface="Calibri"/>
            </a:rPr>
            <a:pPr algn="ctr"/>
            <a:t>Meta 2</a:t>
          </a:fld>
          <a:endParaRPr lang="en-US"/>
        </a:p>
      </xdr:txBody>
    </xdr:sp>
    <xdr:clientData/>
  </xdr:twoCellAnchor>
  <xdr:twoCellAnchor>
    <xdr:from>
      <xdr:col>6</xdr:col>
      <xdr:colOff>714375</xdr:colOff>
      <xdr:row>2</xdr:row>
      <xdr:rowOff>66675</xdr:rowOff>
    </xdr:from>
    <xdr:to>
      <xdr:col>7</xdr:col>
      <xdr:colOff>537651</xdr:colOff>
      <xdr:row>3</xdr:row>
      <xdr:rowOff>58516</xdr:rowOff>
    </xdr:to>
    <xdr:sp macro="" textlink="'AP1'!D10">
      <xdr:nvSpPr>
        <xdr:cNvPr id="17" name="Rectángulo 16">
          <a:hlinkClick xmlns:r="http://schemas.openxmlformats.org/officeDocument/2006/relationships" r:id="rId15"/>
          <a:extLst>
            <a:ext uri="{FF2B5EF4-FFF2-40B4-BE49-F238E27FC236}">
              <a16:creationId xmlns:a16="http://schemas.microsoft.com/office/drawing/2014/main" id="{BEBED4A2-7BEA-4294-B195-A1F0A70B6F6E}"/>
            </a:ext>
          </a:extLst>
        </xdr:cNvPr>
        <xdr:cNvSpPr/>
      </xdr:nvSpPr>
      <xdr:spPr>
        <a:xfrm>
          <a:off x="9801225" y="876300"/>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462561C-C0B5-4D23-A45C-45F042767EE4}" type="TxLink">
            <a:rPr lang="en-US" sz="1200" b="1" i="0" u="none" strike="noStrike">
              <a:solidFill>
                <a:schemeClr val="tx1"/>
              </a:solidFill>
              <a:latin typeface="Calibri"/>
              <a:cs typeface="Calibri"/>
            </a:rPr>
            <a:pPr algn="ctr"/>
            <a:t>Meta 3</a:t>
          </a:fld>
          <a:endParaRPr lang="en-US" sz="1200" b="1" i="0" u="none" strike="noStrike">
            <a:solidFill>
              <a:schemeClr val="tx1"/>
            </a:solidFill>
            <a:latin typeface="Calibri"/>
            <a:cs typeface="Calibri"/>
          </a:endParaRPr>
        </a:p>
      </xdr:txBody>
    </xdr:sp>
    <xdr:clientData/>
  </xdr:twoCellAnchor>
  <xdr:twoCellAnchor>
    <xdr:from>
      <xdr:col>7</xdr:col>
      <xdr:colOff>590550</xdr:colOff>
      <xdr:row>2</xdr:row>
      <xdr:rowOff>66675</xdr:rowOff>
    </xdr:from>
    <xdr:to>
      <xdr:col>9</xdr:col>
      <xdr:colOff>413826</xdr:colOff>
      <xdr:row>3</xdr:row>
      <xdr:rowOff>58516</xdr:rowOff>
    </xdr:to>
    <xdr:sp macro="" textlink="'AP1'!E10">
      <xdr:nvSpPr>
        <xdr:cNvPr id="18" name="Rectángulo 17">
          <a:hlinkClick xmlns:r="http://schemas.openxmlformats.org/officeDocument/2006/relationships" r:id="rId16"/>
          <a:extLst>
            <a:ext uri="{FF2B5EF4-FFF2-40B4-BE49-F238E27FC236}">
              <a16:creationId xmlns:a16="http://schemas.microsoft.com/office/drawing/2014/main" id="{B78A130B-AE75-4242-A0D9-24D70AAE3A0F}"/>
            </a:ext>
          </a:extLst>
        </xdr:cNvPr>
        <xdr:cNvSpPr/>
      </xdr:nvSpPr>
      <xdr:spPr>
        <a:xfrm>
          <a:off x="110585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BDB60270-A381-415D-B1D5-9C4A7A259109}" type="TxLink">
            <a:rPr lang="en-US" sz="1200" b="1" i="0" u="none" strike="noStrike">
              <a:solidFill>
                <a:srgbClr val="FFFFFF"/>
              </a:solidFill>
              <a:latin typeface="Calibri"/>
              <a:cs typeface="Calibri"/>
            </a:rPr>
            <a:pPr algn="ctr"/>
            <a:t>Meta 4</a:t>
          </a:fld>
          <a:endParaRPr lang="en-US" sz="1200" b="1" i="0" u="none" strike="noStrike">
            <a:solidFill>
              <a:srgbClr val="FFFFFF"/>
            </a:solidFill>
            <a:latin typeface="Calibri"/>
            <a:cs typeface="Calibri"/>
          </a:endParaRPr>
        </a:p>
      </xdr:txBody>
    </xdr:sp>
    <xdr:clientData/>
  </xdr:twoCellAnchor>
  <xdr:twoCellAnchor>
    <xdr:from>
      <xdr:col>9</xdr:col>
      <xdr:colOff>466725</xdr:colOff>
      <xdr:row>2</xdr:row>
      <xdr:rowOff>66675</xdr:rowOff>
    </xdr:from>
    <xdr:to>
      <xdr:col>10</xdr:col>
      <xdr:colOff>556701</xdr:colOff>
      <xdr:row>3</xdr:row>
      <xdr:rowOff>58516</xdr:rowOff>
    </xdr:to>
    <xdr:sp macro="" textlink="'AP1'!F10">
      <xdr:nvSpPr>
        <xdr:cNvPr id="19" name="Rectángulo 18">
          <a:hlinkClick xmlns:r="http://schemas.openxmlformats.org/officeDocument/2006/relationships" r:id="rId17"/>
          <a:extLst>
            <a:ext uri="{FF2B5EF4-FFF2-40B4-BE49-F238E27FC236}">
              <a16:creationId xmlns:a16="http://schemas.microsoft.com/office/drawing/2014/main" id="{7A77EEFA-649F-47E2-917E-BB761AFDF8A0}"/>
            </a:ext>
          </a:extLst>
        </xdr:cNvPr>
        <xdr:cNvSpPr/>
      </xdr:nvSpPr>
      <xdr:spPr>
        <a:xfrm>
          <a:off x="123158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1F3F83AA-5A39-4061-88E2-5A91A9339F55}" type="TxLink">
            <a:rPr lang="en-US" sz="1200" b="1" i="0" u="none" strike="noStrike">
              <a:solidFill>
                <a:srgbClr val="FFFFFF"/>
              </a:solidFill>
              <a:latin typeface="Calibri"/>
              <a:cs typeface="Calibri"/>
            </a:rPr>
            <a:pPr algn="ctr"/>
            <a:t>Meta 5</a:t>
          </a:fld>
          <a:endParaRPr lang="en-US" sz="1200" b="1" i="0" u="none" strike="noStrike">
            <a:solidFill>
              <a:schemeClr val="bg1"/>
            </a:solidFill>
            <a:latin typeface="Calibri"/>
            <a:cs typeface="Calibri"/>
          </a:endParaRPr>
        </a:p>
      </xdr:txBody>
    </xdr:sp>
    <xdr:clientData/>
  </xdr:twoCellAnchor>
  <xdr:twoCellAnchor>
    <xdr:from>
      <xdr:col>10</xdr:col>
      <xdr:colOff>609600</xdr:colOff>
      <xdr:row>2</xdr:row>
      <xdr:rowOff>66675</xdr:rowOff>
    </xdr:from>
    <xdr:to>
      <xdr:col>11</xdr:col>
      <xdr:colOff>832926</xdr:colOff>
      <xdr:row>3</xdr:row>
      <xdr:rowOff>58516</xdr:rowOff>
    </xdr:to>
    <xdr:sp macro="" textlink="'AP1'!G10">
      <xdr:nvSpPr>
        <xdr:cNvPr id="20" name="Rectángulo 19">
          <a:hlinkClick xmlns:r="http://schemas.openxmlformats.org/officeDocument/2006/relationships" r:id="rId18"/>
          <a:extLst>
            <a:ext uri="{FF2B5EF4-FFF2-40B4-BE49-F238E27FC236}">
              <a16:creationId xmlns:a16="http://schemas.microsoft.com/office/drawing/2014/main" id="{2FFEFB7A-3B63-469B-B5BB-9CA988F13A8C}"/>
            </a:ext>
          </a:extLst>
        </xdr:cNvPr>
        <xdr:cNvSpPr/>
      </xdr:nvSpPr>
      <xdr:spPr>
        <a:xfrm>
          <a:off x="135731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7869B3-A561-4D4A-B111-9C4356931955}" type="TxLink">
            <a:rPr lang="en-US" sz="1200" b="1" i="0" u="none" strike="noStrike">
              <a:solidFill>
                <a:srgbClr val="FFFFFF"/>
              </a:solidFill>
              <a:latin typeface="Calibri"/>
              <a:cs typeface="Calibri"/>
            </a:rPr>
            <a:pPr algn="ctr"/>
            <a:t>Meta 6</a:t>
          </a:fld>
          <a:endParaRPr lang="en-US" sz="1200" b="1" i="0" u="none" strike="noStrike">
            <a:solidFill>
              <a:schemeClr val="bg1"/>
            </a:solidFill>
            <a:latin typeface="Calibri"/>
            <a:cs typeface="Calibri"/>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2</xdr:col>
      <xdr:colOff>19050</xdr:colOff>
      <xdr:row>0</xdr:row>
      <xdr:rowOff>0</xdr:rowOff>
    </xdr:from>
    <xdr:to>
      <xdr:col>3</xdr:col>
      <xdr:colOff>164124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E43757E0-602C-4D36-BF89-C36B5779958B}"/>
            </a:ext>
          </a:extLst>
        </xdr:cNvPr>
        <xdr:cNvSpPr txBox="1"/>
      </xdr:nvSpPr>
      <xdr:spPr>
        <a:xfrm>
          <a:off x="1914525"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3</xdr:col>
      <xdr:colOff>215412</xdr:colOff>
      <xdr:row>0</xdr:row>
      <xdr:rowOff>0</xdr:rowOff>
    </xdr:from>
    <xdr:to>
      <xdr:col>4</xdr:col>
      <xdr:colOff>741485</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ABF02927-9A78-45EF-8F7A-3618E4C4AA0B}"/>
            </a:ext>
          </a:extLst>
        </xdr:cNvPr>
        <xdr:cNvSpPr txBox="1"/>
      </xdr:nvSpPr>
      <xdr:spPr>
        <a:xfrm>
          <a:off x="3825387"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4</xdr:col>
      <xdr:colOff>787370</xdr:colOff>
      <xdr:row>0</xdr:row>
      <xdr:rowOff>0</xdr:rowOff>
    </xdr:from>
    <xdr:to>
      <xdr:col>5</xdr:col>
      <xdr:colOff>864577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7A367CBE-AC82-4A1F-A32B-206578F2D7C6}"/>
            </a:ext>
          </a:extLst>
        </xdr:cNvPr>
        <xdr:cNvSpPr txBox="1"/>
      </xdr:nvSpPr>
      <xdr:spPr>
        <a:xfrm>
          <a:off x="6111845"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5</xdr:col>
      <xdr:colOff>907986</xdr:colOff>
      <xdr:row>0</xdr:row>
      <xdr:rowOff>0</xdr:rowOff>
    </xdr:from>
    <xdr:to>
      <xdr:col>6</xdr:col>
      <xdr:colOff>852118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8A303B56-BDA6-43B4-9389-06CD629AAA1D}"/>
            </a:ext>
          </a:extLst>
        </xdr:cNvPr>
        <xdr:cNvSpPr txBox="1"/>
      </xdr:nvSpPr>
      <xdr:spPr>
        <a:xfrm>
          <a:off x="7946961"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19050</xdr:colOff>
      <xdr:row>0</xdr:row>
      <xdr:rowOff>0</xdr:rowOff>
    </xdr:from>
    <xdr:to>
      <xdr:col>2</xdr:col>
      <xdr:colOff>517281</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15A70309-283C-48D3-9CE2-BAF3C170E77B}"/>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914525"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237393</xdr:colOff>
      <xdr:row>0</xdr:row>
      <xdr:rowOff>14654</xdr:rowOff>
    </xdr:from>
    <xdr:to>
      <xdr:col>3</xdr:col>
      <xdr:colOff>706314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19FC71F2-3458-4280-9F2B-19BE7F5C3B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47368"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807427</xdr:colOff>
      <xdr:row>0</xdr:row>
      <xdr:rowOff>0</xdr:rowOff>
    </xdr:from>
    <xdr:to>
      <xdr:col>4</xdr:col>
      <xdr:colOff>1203080</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6DDA7D59-B0EF-41F8-9FFF-E2B50C165D3E}"/>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131902"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923190</xdr:colOff>
      <xdr:row>0</xdr:row>
      <xdr:rowOff>14654</xdr:rowOff>
    </xdr:from>
    <xdr:to>
      <xdr:col>5</xdr:col>
      <xdr:colOff>1502017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FFB3FC55-20F2-42D6-8E09-783575556667}"/>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962165"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904875</xdr:colOff>
      <xdr:row>1</xdr:row>
      <xdr:rowOff>9525</xdr:rowOff>
    </xdr:from>
    <xdr:to>
      <xdr:col>3</xdr:col>
      <xdr:colOff>1240492</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E0F1E05A-CBD6-4492-A1DF-393AAADB89BD}"/>
            </a:ext>
          </a:extLst>
        </xdr:cNvPr>
        <xdr:cNvSpPr/>
      </xdr:nvSpPr>
      <xdr:spPr>
        <a:xfrm>
          <a:off x="2800350"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3</xdr:col>
      <xdr:colOff>1249583</xdr:colOff>
      <xdr:row>1</xdr:row>
      <xdr:rowOff>9525</xdr:rowOff>
    </xdr:from>
    <xdr:to>
      <xdr:col>4</xdr:col>
      <xdr:colOff>859924</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38EE4692-C8CC-4915-B12C-9FACE00EFC3F}"/>
            </a:ext>
          </a:extLst>
        </xdr:cNvPr>
        <xdr:cNvSpPr/>
      </xdr:nvSpPr>
      <xdr:spPr>
        <a:xfrm>
          <a:off x="4859558"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4</xdr:col>
      <xdr:colOff>869450</xdr:colOff>
      <xdr:row>1</xdr:row>
      <xdr:rowOff>9525</xdr:rowOff>
    </xdr:from>
    <xdr:to>
      <xdr:col>5</xdr:col>
      <xdr:colOff>306609</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1D9E3772-016B-4642-B4C5-4FB0683F2814}"/>
            </a:ext>
          </a:extLst>
        </xdr:cNvPr>
        <xdr:cNvSpPr/>
      </xdr:nvSpPr>
      <xdr:spPr>
        <a:xfrm>
          <a:off x="6193925"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5</xdr:col>
      <xdr:colOff>326092</xdr:colOff>
      <xdr:row>1</xdr:row>
      <xdr:rowOff>9525</xdr:rowOff>
    </xdr:from>
    <xdr:to>
      <xdr:col>6</xdr:col>
      <xdr:colOff>40342</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B04EEE7B-FBCD-47C0-A90D-05432976B298}"/>
            </a:ext>
          </a:extLst>
        </xdr:cNvPr>
        <xdr:cNvSpPr/>
      </xdr:nvSpPr>
      <xdr:spPr>
        <a:xfrm>
          <a:off x="7365067"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6</xdr:col>
      <xdr:colOff>59392</xdr:colOff>
      <xdr:row>1</xdr:row>
      <xdr:rowOff>9525</xdr:rowOff>
    </xdr:from>
    <xdr:to>
      <xdr:col>7</xdr:col>
      <xdr:colOff>135592</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CB5D2C2D-1F75-4524-8C22-9C480859193A}"/>
            </a:ext>
          </a:extLst>
        </xdr:cNvPr>
        <xdr:cNvSpPr/>
      </xdr:nvSpPr>
      <xdr:spPr>
        <a:xfrm>
          <a:off x="9146242" y="504825"/>
          <a:ext cx="14573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tx1"/>
              </a:solidFill>
              <a:latin typeface="CALIBRI"/>
              <a:cs typeface="CALIBRI"/>
            </a:rPr>
            <a:pPr algn="ctr"/>
            <a:t>2.5. Plan de acción</a:t>
          </a:fld>
          <a:endParaRPr lang="en-US" sz="3200" b="1">
            <a:solidFill>
              <a:schemeClr val="tx1"/>
            </a:solidFill>
          </a:endParaRPr>
        </a:p>
      </xdr:txBody>
    </xdr:sp>
    <xdr:clientData/>
  </xdr:twoCellAnchor>
  <xdr:twoCellAnchor>
    <xdr:from>
      <xdr:col>5</xdr:col>
      <xdr:colOff>247650</xdr:colOff>
      <xdr:row>2</xdr:row>
      <xdr:rowOff>57150</xdr:rowOff>
    </xdr:from>
    <xdr:to>
      <xdr:col>5</xdr:col>
      <xdr:colOff>1452051</xdr:colOff>
      <xdr:row>3</xdr:row>
      <xdr:rowOff>48991</xdr:rowOff>
    </xdr:to>
    <xdr:sp macro="" textlink="'AP1'!B10">
      <xdr:nvSpPr>
        <xdr:cNvPr id="15" name="Rectángulo 14">
          <a:hlinkClick xmlns:r="http://schemas.openxmlformats.org/officeDocument/2006/relationships" r:id="rId13"/>
          <a:extLst>
            <a:ext uri="{FF2B5EF4-FFF2-40B4-BE49-F238E27FC236}">
              <a16:creationId xmlns:a16="http://schemas.microsoft.com/office/drawing/2014/main" id="{8F5B807D-A5D2-4FAF-82AD-1C0AC1A145C4}"/>
            </a:ext>
          </a:extLst>
        </xdr:cNvPr>
        <xdr:cNvSpPr/>
      </xdr:nvSpPr>
      <xdr:spPr>
        <a:xfrm>
          <a:off x="7286625" y="866775"/>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7FBC704-5B6D-491A-AE2B-9577AAFBC21B}" type="TxLink">
            <a:rPr lang="en-US" sz="1200" b="1" i="0" u="none" strike="noStrike">
              <a:solidFill>
                <a:schemeClr val="bg1"/>
              </a:solidFill>
              <a:latin typeface="Calibri"/>
              <a:cs typeface="Calibri"/>
            </a:rPr>
            <a:pPr algn="ctr"/>
            <a:t>Meta 1</a:t>
          </a:fld>
          <a:endParaRPr lang="en-US" sz="1200" b="1" i="0" u="none" strike="noStrike">
            <a:solidFill>
              <a:schemeClr val="bg1"/>
            </a:solidFill>
            <a:latin typeface="Calibri"/>
            <a:cs typeface="Calibri"/>
          </a:endParaRPr>
        </a:p>
      </xdr:txBody>
    </xdr:sp>
    <xdr:clientData/>
  </xdr:twoCellAnchor>
  <xdr:twoCellAnchor>
    <xdr:from>
      <xdr:col>5</xdr:col>
      <xdr:colOff>1504950</xdr:colOff>
      <xdr:row>2</xdr:row>
      <xdr:rowOff>57150</xdr:rowOff>
    </xdr:from>
    <xdr:to>
      <xdr:col>6</xdr:col>
      <xdr:colOff>661476</xdr:colOff>
      <xdr:row>3</xdr:row>
      <xdr:rowOff>48991</xdr:rowOff>
    </xdr:to>
    <xdr:sp macro="" textlink="'AP1'!C10">
      <xdr:nvSpPr>
        <xdr:cNvPr id="16" name="Rectángulo 15">
          <a:hlinkClick xmlns:r="http://schemas.openxmlformats.org/officeDocument/2006/relationships" r:id="rId14"/>
          <a:extLst>
            <a:ext uri="{FF2B5EF4-FFF2-40B4-BE49-F238E27FC236}">
              <a16:creationId xmlns:a16="http://schemas.microsoft.com/office/drawing/2014/main" id="{15A15B70-D4DA-4558-837B-12DA6C805700}"/>
            </a:ext>
          </a:extLst>
        </xdr:cNvPr>
        <xdr:cNvSpPr/>
      </xdr:nvSpPr>
      <xdr:spPr>
        <a:xfrm>
          <a:off x="8543925" y="866775"/>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DD00A0B-B878-460E-A94B-3BB9DAC07330}" type="TxLink">
            <a:rPr lang="en-US" sz="1200" b="1" i="0" u="none" strike="noStrike">
              <a:solidFill>
                <a:srgbClr val="FFFFFF"/>
              </a:solidFill>
              <a:latin typeface="Calibri"/>
              <a:cs typeface="Calibri"/>
            </a:rPr>
            <a:pPr algn="ctr"/>
            <a:t>Meta 2</a:t>
          </a:fld>
          <a:endParaRPr lang="en-US"/>
        </a:p>
      </xdr:txBody>
    </xdr:sp>
    <xdr:clientData/>
  </xdr:twoCellAnchor>
  <xdr:twoCellAnchor>
    <xdr:from>
      <xdr:col>6</xdr:col>
      <xdr:colOff>714375</xdr:colOff>
      <xdr:row>2</xdr:row>
      <xdr:rowOff>57150</xdr:rowOff>
    </xdr:from>
    <xdr:to>
      <xdr:col>7</xdr:col>
      <xdr:colOff>537651</xdr:colOff>
      <xdr:row>3</xdr:row>
      <xdr:rowOff>48991</xdr:rowOff>
    </xdr:to>
    <xdr:sp macro="" textlink="'AP1'!D10">
      <xdr:nvSpPr>
        <xdr:cNvPr id="17" name="Rectángulo 16">
          <a:hlinkClick xmlns:r="http://schemas.openxmlformats.org/officeDocument/2006/relationships" r:id="rId15"/>
          <a:extLst>
            <a:ext uri="{FF2B5EF4-FFF2-40B4-BE49-F238E27FC236}">
              <a16:creationId xmlns:a16="http://schemas.microsoft.com/office/drawing/2014/main" id="{79B6D260-A1D3-4F45-8E11-850F07985BA9}"/>
            </a:ext>
          </a:extLst>
        </xdr:cNvPr>
        <xdr:cNvSpPr/>
      </xdr:nvSpPr>
      <xdr:spPr>
        <a:xfrm>
          <a:off x="9801225" y="866775"/>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462561C-C0B5-4D23-A45C-45F042767EE4}" type="TxLink">
            <a:rPr lang="en-US" sz="1200" b="1" i="0" u="none" strike="noStrike">
              <a:solidFill>
                <a:srgbClr val="FFFFFF"/>
              </a:solidFill>
              <a:latin typeface="Calibri"/>
              <a:cs typeface="Calibri"/>
            </a:rPr>
            <a:pPr algn="ctr"/>
            <a:t>Meta 3</a:t>
          </a:fld>
          <a:endParaRPr lang="en-US" sz="1200" b="1" i="0" u="none" strike="noStrike">
            <a:solidFill>
              <a:schemeClr val="bg1"/>
            </a:solidFill>
            <a:latin typeface="Calibri"/>
            <a:cs typeface="Calibri"/>
          </a:endParaRPr>
        </a:p>
      </xdr:txBody>
    </xdr:sp>
    <xdr:clientData/>
  </xdr:twoCellAnchor>
  <xdr:twoCellAnchor>
    <xdr:from>
      <xdr:col>7</xdr:col>
      <xdr:colOff>590550</xdr:colOff>
      <xdr:row>2</xdr:row>
      <xdr:rowOff>57150</xdr:rowOff>
    </xdr:from>
    <xdr:to>
      <xdr:col>9</xdr:col>
      <xdr:colOff>413826</xdr:colOff>
      <xdr:row>3</xdr:row>
      <xdr:rowOff>48991</xdr:rowOff>
    </xdr:to>
    <xdr:sp macro="" textlink="'AP1'!E10">
      <xdr:nvSpPr>
        <xdr:cNvPr id="18" name="Rectángulo 17">
          <a:hlinkClick xmlns:r="http://schemas.openxmlformats.org/officeDocument/2006/relationships" r:id="rId16"/>
          <a:extLst>
            <a:ext uri="{FF2B5EF4-FFF2-40B4-BE49-F238E27FC236}">
              <a16:creationId xmlns:a16="http://schemas.microsoft.com/office/drawing/2014/main" id="{D3845602-E992-4FB4-B74D-10CCC6B7F4CD}"/>
            </a:ext>
          </a:extLst>
        </xdr:cNvPr>
        <xdr:cNvSpPr/>
      </xdr:nvSpPr>
      <xdr:spPr>
        <a:xfrm>
          <a:off x="11058525" y="866775"/>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BDB60270-A381-415D-B1D5-9C4A7A259109}" type="TxLink">
            <a:rPr lang="en-US" sz="1200" b="1" i="0" u="none" strike="noStrike">
              <a:solidFill>
                <a:schemeClr val="tx1"/>
              </a:solidFill>
              <a:latin typeface="Calibri"/>
              <a:cs typeface="Calibri"/>
            </a:rPr>
            <a:pPr algn="ctr"/>
            <a:t>Meta 4</a:t>
          </a:fld>
          <a:endParaRPr lang="en-US" sz="1200" b="1" i="0" u="none" strike="noStrike">
            <a:solidFill>
              <a:schemeClr val="tx1"/>
            </a:solidFill>
            <a:latin typeface="Calibri"/>
            <a:cs typeface="Calibri"/>
          </a:endParaRPr>
        </a:p>
      </xdr:txBody>
    </xdr:sp>
    <xdr:clientData/>
  </xdr:twoCellAnchor>
  <xdr:twoCellAnchor>
    <xdr:from>
      <xdr:col>9</xdr:col>
      <xdr:colOff>466725</xdr:colOff>
      <xdr:row>2</xdr:row>
      <xdr:rowOff>57150</xdr:rowOff>
    </xdr:from>
    <xdr:to>
      <xdr:col>10</xdr:col>
      <xdr:colOff>556701</xdr:colOff>
      <xdr:row>3</xdr:row>
      <xdr:rowOff>48991</xdr:rowOff>
    </xdr:to>
    <xdr:sp macro="" textlink="'AP1'!F10">
      <xdr:nvSpPr>
        <xdr:cNvPr id="19" name="Rectángulo 18">
          <a:hlinkClick xmlns:r="http://schemas.openxmlformats.org/officeDocument/2006/relationships" r:id="rId17"/>
          <a:extLst>
            <a:ext uri="{FF2B5EF4-FFF2-40B4-BE49-F238E27FC236}">
              <a16:creationId xmlns:a16="http://schemas.microsoft.com/office/drawing/2014/main" id="{DBB0317B-DB00-4808-A62A-319F18F492D9}"/>
            </a:ext>
          </a:extLst>
        </xdr:cNvPr>
        <xdr:cNvSpPr/>
      </xdr:nvSpPr>
      <xdr:spPr>
        <a:xfrm>
          <a:off x="12315825" y="866775"/>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1F3F83AA-5A39-4061-88E2-5A91A9339F55}" type="TxLink">
            <a:rPr lang="en-US" sz="1200" b="1" i="0" u="none" strike="noStrike">
              <a:solidFill>
                <a:srgbClr val="FFFFFF"/>
              </a:solidFill>
              <a:latin typeface="Calibri"/>
              <a:cs typeface="Calibri"/>
            </a:rPr>
            <a:pPr algn="ctr"/>
            <a:t>Meta 5</a:t>
          </a:fld>
          <a:endParaRPr lang="en-US" sz="1200" b="1" i="0" u="none" strike="noStrike">
            <a:solidFill>
              <a:schemeClr val="bg1"/>
            </a:solidFill>
            <a:latin typeface="Calibri"/>
            <a:cs typeface="Calibri"/>
          </a:endParaRPr>
        </a:p>
      </xdr:txBody>
    </xdr:sp>
    <xdr:clientData/>
  </xdr:twoCellAnchor>
  <xdr:twoCellAnchor>
    <xdr:from>
      <xdr:col>10</xdr:col>
      <xdr:colOff>609600</xdr:colOff>
      <xdr:row>2</xdr:row>
      <xdr:rowOff>57150</xdr:rowOff>
    </xdr:from>
    <xdr:to>
      <xdr:col>11</xdr:col>
      <xdr:colOff>832926</xdr:colOff>
      <xdr:row>3</xdr:row>
      <xdr:rowOff>48991</xdr:rowOff>
    </xdr:to>
    <xdr:sp macro="" textlink="'AP1'!G10">
      <xdr:nvSpPr>
        <xdr:cNvPr id="20" name="Rectángulo 19">
          <a:hlinkClick xmlns:r="http://schemas.openxmlformats.org/officeDocument/2006/relationships" r:id="rId18"/>
          <a:extLst>
            <a:ext uri="{FF2B5EF4-FFF2-40B4-BE49-F238E27FC236}">
              <a16:creationId xmlns:a16="http://schemas.microsoft.com/office/drawing/2014/main" id="{8D7774AF-8B14-4A76-BDA6-B9EF67725F39}"/>
            </a:ext>
          </a:extLst>
        </xdr:cNvPr>
        <xdr:cNvSpPr/>
      </xdr:nvSpPr>
      <xdr:spPr>
        <a:xfrm>
          <a:off x="13573125" y="866775"/>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7869B3-A561-4D4A-B111-9C4356931955}" type="TxLink">
            <a:rPr lang="en-US" sz="1200" b="1" i="0" u="none" strike="noStrike">
              <a:solidFill>
                <a:srgbClr val="FFFFFF"/>
              </a:solidFill>
              <a:latin typeface="Calibri"/>
              <a:cs typeface="Calibri"/>
            </a:rPr>
            <a:pPr algn="ctr"/>
            <a:t>Meta 6</a:t>
          </a:fld>
          <a:endParaRPr lang="en-US" sz="1200" b="1" i="0" u="none" strike="noStrike">
            <a:solidFill>
              <a:schemeClr val="bg1"/>
            </a:solidFill>
            <a:latin typeface="Calibri"/>
            <a:cs typeface="Calibri"/>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2</xdr:col>
      <xdr:colOff>9525</xdr:colOff>
      <xdr:row>0</xdr:row>
      <xdr:rowOff>0</xdr:rowOff>
    </xdr:from>
    <xdr:to>
      <xdr:col>3</xdr:col>
      <xdr:colOff>154599</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0C58600B-AA10-4A49-90E7-7A0D71703DF3}"/>
            </a:ext>
          </a:extLst>
        </xdr:cNvPr>
        <xdr:cNvSpPr txBox="1"/>
      </xdr:nvSpPr>
      <xdr:spPr>
        <a:xfrm>
          <a:off x="19050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3</xdr:col>
      <xdr:colOff>205887</xdr:colOff>
      <xdr:row>0</xdr:row>
      <xdr:rowOff>0</xdr:rowOff>
    </xdr:from>
    <xdr:to>
      <xdr:col>4</xdr:col>
      <xdr:colOff>731960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A72C1887-021D-44BE-8990-1DBC9AE513B8}"/>
            </a:ext>
          </a:extLst>
        </xdr:cNvPr>
        <xdr:cNvSpPr txBox="1"/>
      </xdr:nvSpPr>
      <xdr:spPr>
        <a:xfrm>
          <a:off x="381586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4</xdr:col>
      <xdr:colOff>777845</xdr:colOff>
      <xdr:row>0</xdr:row>
      <xdr:rowOff>0</xdr:rowOff>
    </xdr:from>
    <xdr:to>
      <xdr:col>5</xdr:col>
      <xdr:colOff>855052</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0FEFB272-61E7-4B0A-A1EB-28C20D310A28}"/>
            </a:ext>
          </a:extLst>
        </xdr:cNvPr>
        <xdr:cNvSpPr txBox="1"/>
      </xdr:nvSpPr>
      <xdr:spPr>
        <a:xfrm>
          <a:off x="61023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5</xdr:col>
      <xdr:colOff>898461</xdr:colOff>
      <xdr:row>0</xdr:row>
      <xdr:rowOff>0</xdr:rowOff>
    </xdr:from>
    <xdr:to>
      <xdr:col>6</xdr:col>
      <xdr:colOff>842593</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36EE06A6-B3D5-40DE-97C3-04E3C5E3EFE9}"/>
            </a:ext>
          </a:extLst>
        </xdr:cNvPr>
        <xdr:cNvSpPr txBox="1"/>
      </xdr:nvSpPr>
      <xdr:spPr>
        <a:xfrm>
          <a:off x="79374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9525</xdr:colOff>
      <xdr:row>0</xdr:row>
      <xdr:rowOff>0</xdr:rowOff>
    </xdr:from>
    <xdr:to>
      <xdr:col>2</xdr:col>
      <xdr:colOff>507756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4C1F4392-4F9E-4333-978A-61E671297C76}"/>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9050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227868</xdr:colOff>
      <xdr:row>0</xdr:row>
      <xdr:rowOff>14654</xdr:rowOff>
    </xdr:from>
    <xdr:to>
      <xdr:col>3</xdr:col>
      <xdr:colOff>696789</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DEAA03EF-440E-435D-9C17-521C5A9F077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378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797902</xdr:colOff>
      <xdr:row>0</xdr:row>
      <xdr:rowOff>0</xdr:rowOff>
    </xdr:from>
    <xdr:to>
      <xdr:col>4</xdr:col>
      <xdr:colOff>1193555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3D262435-19DC-4F3C-86D9-301481FAAA6B}"/>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1223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913665</xdr:colOff>
      <xdr:row>0</xdr:row>
      <xdr:rowOff>14654</xdr:rowOff>
    </xdr:from>
    <xdr:to>
      <xdr:col>5</xdr:col>
      <xdr:colOff>1492492</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82EFA366-6D91-45C3-B908-71F5E46354E7}"/>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9526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895350</xdr:colOff>
      <xdr:row>1</xdr:row>
      <xdr:rowOff>9525</xdr:rowOff>
    </xdr:from>
    <xdr:to>
      <xdr:col>3</xdr:col>
      <xdr:colOff>1230967</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0077B5C6-C1FD-471B-9C73-DFA704C6222F}"/>
            </a:ext>
          </a:extLst>
        </xdr:cNvPr>
        <xdr:cNvSpPr/>
      </xdr:nvSpPr>
      <xdr:spPr>
        <a:xfrm>
          <a:off x="279082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3</xdr:col>
      <xdr:colOff>1240058</xdr:colOff>
      <xdr:row>1</xdr:row>
      <xdr:rowOff>9525</xdr:rowOff>
    </xdr:from>
    <xdr:to>
      <xdr:col>4</xdr:col>
      <xdr:colOff>850399</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EA8028E2-7738-45E4-AEBD-7A9E1C824BD1}"/>
            </a:ext>
          </a:extLst>
        </xdr:cNvPr>
        <xdr:cNvSpPr/>
      </xdr:nvSpPr>
      <xdr:spPr>
        <a:xfrm>
          <a:off x="4850033"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4</xdr:col>
      <xdr:colOff>859925</xdr:colOff>
      <xdr:row>1</xdr:row>
      <xdr:rowOff>9525</xdr:rowOff>
    </xdr:from>
    <xdr:to>
      <xdr:col>5</xdr:col>
      <xdr:colOff>297084</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B3B3252F-7BBE-4E89-834F-F34284E417E2}"/>
            </a:ext>
          </a:extLst>
        </xdr:cNvPr>
        <xdr:cNvSpPr/>
      </xdr:nvSpPr>
      <xdr:spPr>
        <a:xfrm>
          <a:off x="6184400"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5</xdr:col>
      <xdr:colOff>316567</xdr:colOff>
      <xdr:row>1</xdr:row>
      <xdr:rowOff>9525</xdr:rowOff>
    </xdr:from>
    <xdr:to>
      <xdr:col>6</xdr:col>
      <xdr:colOff>30817</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9B3AC0A1-E25A-4020-82E1-DC5ED00FBEB3}"/>
            </a:ext>
          </a:extLst>
        </xdr:cNvPr>
        <xdr:cNvSpPr/>
      </xdr:nvSpPr>
      <xdr:spPr>
        <a:xfrm>
          <a:off x="7355542"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6</xdr:col>
      <xdr:colOff>49867</xdr:colOff>
      <xdr:row>1</xdr:row>
      <xdr:rowOff>9525</xdr:rowOff>
    </xdr:from>
    <xdr:to>
      <xdr:col>7</xdr:col>
      <xdr:colOff>126067</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B74072FE-D058-48A4-B907-2EDB108E5AD0}"/>
            </a:ext>
          </a:extLst>
        </xdr:cNvPr>
        <xdr:cNvSpPr/>
      </xdr:nvSpPr>
      <xdr:spPr>
        <a:xfrm>
          <a:off x="9136717" y="504825"/>
          <a:ext cx="14573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tx1"/>
              </a:solidFill>
              <a:latin typeface="CALIBRI"/>
              <a:cs typeface="CALIBRI"/>
            </a:rPr>
            <a:pPr algn="ctr"/>
            <a:t>2.5. Plan de acción</a:t>
          </a:fld>
          <a:endParaRPr lang="en-US" sz="3200" b="1">
            <a:solidFill>
              <a:schemeClr val="tx1"/>
            </a:solidFill>
          </a:endParaRPr>
        </a:p>
      </xdr:txBody>
    </xdr:sp>
    <xdr:clientData/>
  </xdr:twoCellAnchor>
  <xdr:twoCellAnchor>
    <xdr:from>
      <xdr:col>5</xdr:col>
      <xdr:colOff>247650</xdr:colOff>
      <xdr:row>2</xdr:row>
      <xdr:rowOff>66675</xdr:rowOff>
    </xdr:from>
    <xdr:to>
      <xdr:col>5</xdr:col>
      <xdr:colOff>1452051</xdr:colOff>
      <xdr:row>3</xdr:row>
      <xdr:rowOff>58516</xdr:rowOff>
    </xdr:to>
    <xdr:sp macro="" textlink="'AP1'!B10">
      <xdr:nvSpPr>
        <xdr:cNvPr id="15" name="Rectángulo 14">
          <a:hlinkClick xmlns:r="http://schemas.openxmlformats.org/officeDocument/2006/relationships" r:id="rId13"/>
          <a:extLst>
            <a:ext uri="{FF2B5EF4-FFF2-40B4-BE49-F238E27FC236}">
              <a16:creationId xmlns:a16="http://schemas.microsoft.com/office/drawing/2014/main" id="{F9454BB1-248C-4434-A869-C322501631B4}"/>
            </a:ext>
          </a:extLst>
        </xdr:cNvPr>
        <xdr:cNvSpPr/>
      </xdr:nvSpPr>
      <xdr:spPr>
        <a:xfrm>
          <a:off x="72866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7FBC704-5B6D-491A-AE2B-9577AAFBC21B}" type="TxLink">
            <a:rPr lang="en-US" sz="1200" b="1" i="0" u="none" strike="noStrike">
              <a:solidFill>
                <a:schemeClr val="bg1"/>
              </a:solidFill>
              <a:latin typeface="Calibri"/>
              <a:cs typeface="Calibri"/>
            </a:rPr>
            <a:pPr algn="ctr"/>
            <a:t>Meta 1</a:t>
          </a:fld>
          <a:endParaRPr lang="en-US" sz="1200" b="1" i="0" u="none" strike="noStrike">
            <a:solidFill>
              <a:schemeClr val="bg1"/>
            </a:solidFill>
            <a:latin typeface="Calibri"/>
            <a:cs typeface="Calibri"/>
          </a:endParaRPr>
        </a:p>
      </xdr:txBody>
    </xdr:sp>
    <xdr:clientData/>
  </xdr:twoCellAnchor>
  <xdr:twoCellAnchor>
    <xdr:from>
      <xdr:col>5</xdr:col>
      <xdr:colOff>1504950</xdr:colOff>
      <xdr:row>2</xdr:row>
      <xdr:rowOff>66675</xdr:rowOff>
    </xdr:from>
    <xdr:to>
      <xdr:col>6</xdr:col>
      <xdr:colOff>661476</xdr:colOff>
      <xdr:row>3</xdr:row>
      <xdr:rowOff>58516</xdr:rowOff>
    </xdr:to>
    <xdr:sp macro="" textlink="'AP1'!C10">
      <xdr:nvSpPr>
        <xdr:cNvPr id="16" name="Rectángulo 15">
          <a:hlinkClick xmlns:r="http://schemas.openxmlformats.org/officeDocument/2006/relationships" r:id="rId14"/>
          <a:extLst>
            <a:ext uri="{FF2B5EF4-FFF2-40B4-BE49-F238E27FC236}">
              <a16:creationId xmlns:a16="http://schemas.microsoft.com/office/drawing/2014/main" id="{6C8E093D-D46B-42DF-B180-487327FA2D8A}"/>
            </a:ext>
          </a:extLst>
        </xdr:cNvPr>
        <xdr:cNvSpPr/>
      </xdr:nvSpPr>
      <xdr:spPr>
        <a:xfrm>
          <a:off x="85439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DD00A0B-B878-460E-A94B-3BB9DAC07330}" type="TxLink">
            <a:rPr lang="en-US" sz="1200" b="1" i="0" u="none" strike="noStrike">
              <a:solidFill>
                <a:srgbClr val="FFFFFF"/>
              </a:solidFill>
              <a:latin typeface="Calibri"/>
              <a:cs typeface="Calibri"/>
            </a:rPr>
            <a:pPr algn="ctr"/>
            <a:t>Meta 2</a:t>
          </a:fld>
          <a:endParaRPr lang="en-US"/>
        </a:p>
      </xdr:txBody>
    </xdr:sp>
    <xdr:clientData/>
  </xdr:twoCellAnchor>
  <xdr:twoCellAnchor>
    <xdr:from>
      <xdr:col>6</xdr:col>
      <xdr:colOff>714375</xdr:colOff>
      <xdr:row>2</xdr:row>
      <xdr:rowOff>66675</xdr:rowOff>
    </xdr:from>
    <xdr:to>
      <xdr:col>7</xdr:col>
      <xdr:colOff>537651</xdr:colOff>
      <xdr:row>3</xdr:row>
      <xdr:rowOff>58516</xdr:rowOff>
    </xdr:to>
    <xdr:sp macro="" textlink="'AP1'!D10">
      <xdr:nvSpPr>
        <xdr:cNvPr id="17" name="Rectángulo 16">
          <a:hlinkClick xmlns:r="http://schemas.openxmlformats.org/officeDocument/2006/relationships" r:id="rId15"/>
          <a:extLst>
            <a:ext uri="{FF2B5EF4-FFF2-40B4-BE49-F238E27FC236}">
              <a16:creationId xmlns:a16="http://schemas.microsoft.com/office/drawing/2014/main" id="{9521E488-D86F-42AB-8BF2-2D375F9EB4DB}"/>
            </a:ext>
          </a:extLst>
        </xdr:cNvPr>
        <xdr:cNvSpPr/>
      </xdr:nvSpPr>
      <xdr:spPr>
        <a:xfrm>
          <a:off x="98012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462561C-C0B5-4D23-A45C-45F042767EE4}" type="TxLink">
            <a:rPr lang="en-US" sz="1200" b="1" i="0" u="none" strike="noStrike">
              <a:solidFill>
                <a:srgbClr val="FFFFFF"/>
              </a:solidFill>
              <a:latin typeface="Calibri"/>
              <a:cs typeface="Calibri"/>
            </a:rPr>
            <a:pPr algn="ctr"/>
            <a:t>Meta 3</a:t>
          </a:fld>
          <a:endParaRPr lang="en-US" sz="1200" b="1" i="0" u="none" strike="noStrike">
            <a:solidFill>
              <a:schemeClr val="bg1"/>
            </a:solidFill>
            <a:latin typeface="Calibri"/>
            <a:cs typeface="Calibri"/>
          </a:endParaRPr>
        </a:p>
      </xdr:txBody>
    </xdr:sp>
    <xdr:clientData/>
  </xdr:twoCellAnchor>
  <xdr:twoCellAnchor>
    <xdr:from>
      <xdr:col>7</xdr:col>
      <xdr:colOff>590550</xdr:colOff>
      <xdr:row>2</xdr:row>
      <xdr:rowOff>66675</xdr:rowOff>
    </xdr:from>
    <xdr:to>
      <xdr:col>9</xdr:col>
      <xdr:colOff>413826</xdr:colOff>
      <xdr:row>3</xdr:row>
      <xdr:rowOff>58516</xdr:rowOff>
    </xdr:to>
    <xdr:sp macro="" textlink="'AP1'!E10">
      <xdr:nvSpPr>
        <xdr:cNvPr id="18" name="Rectángulo 17">
          <a:hlinkClick xmlns:r="http://schemas.openxmlformats.org/officeDocument/2006/relationships" r:id="rId16"/>
          <a:extLst>
            <a:ext uri="{FF2B5EF4-FFF2-40B4-BE49-F238E27FC236}">
              <a16:creationId xmlns:a16="http://schemas.microsoft.com/office/drawing/2014/main" id="{F948009C-C799-475A-AB60-E49E2F0700C2}"/>
            </a:ext>
          </a:extLst>
        </xdr:cNvPr>
        <xdr:cNvSpPr/>
      </xdr:nvSpPr>
      <xdr:spPr>
        <a:xfrm>
          <a:off x="110585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BDB60270-A381-415D-B1D5-9C4A7A259109}" type="TxLink">
            <a:rPr lang="en-US" sz="1200" b="1" i="0" u="none" strike="noStrike">
              <a:solidFill>
                <a:srgbClr val="FFFFFF"/>
              </a:solidFill>
              <a:latin typeface="Calibri"/>
              <a:cs typeface="Calibri"/>
            </a:rPr>
            <a:pPr algn="ctr"/>
            <a:t>Meta 4</a:t>
          </a:fld>
          <a:endParaRPr lang="en-US" sz="1200" b="1" i="0" u="none" strike="noStrike">
            <a:solidFill>
              <a:srgbClr val="FFFFFF"/>
            </a:solidFill>
            <a:latin typeface="Calibri"/>
            <a:cs typeface="Calibri"/>
          </a:endParaRPr>
        </a:p>
      </xdr:txBody>
    </xdr:sp>
    <xdr:clientData/>
  </xdr:twoCellAnchor>
  <xdr:twoCellAnchor>
    <xdr:from>
      <xdr:col>9</xdr:col>
      <xdr:colOff>466725</xdr:colOff>
      <xdr:row>2</xdr:row>
      <xdr:rowOff>66675</xdr:rowOff>
    </xdr:from>
    <xdr:to>
      <xdr:col>10</xdr:col>
      <xdr:colOff>556701</xdr:colOff>
      <xdr:row>3</xdr:row>
      <xdr:rowOff>58516</xdr:rowOff>
    </xdr:to>
    <xdr:sp macro="" textlink="'AP1'!F10">
      <xdr:nvSpPr>
        <xdr:cNvPr id="19" name="Rectángulo 18">
          <a:hlinkClick xmlns:r="http://schemas.openxmlformats.org/officeDocument/2006/relationships" r:id="rId17"/>
          <a:extLst>
            <a:ext uri="{FF2B5EF4-FFF2-40B4-BE49-F238E27FC236}">
              <a16:creationId xmlns:a16="http://schemas.microsoft.com/office/drawing/2014/main" id="{5D031B6C-08ED-4036-9C40-F2F56465EC38}"/>
            </a:ext>
          </a:extLst>
        </xdr:cNvPr>
        <xdr:cNvSpPr/>
      </xdr:nvSpPr>
      <xdr:spPr>
        <a:xfrm>
          <a:off x="12315825" y="876300"/>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1F3F83AA-5A39-4061-88E2-5A91A9339F55}" type="TxLink">
            <a:rPr lang="en-US" sz="1200" b="1" i="0" u="none" strike="noStrike">
              <a:solidFill>
                <a:schemeClr val="tx1"/>
              </a:solidFill>
              <a:latin typeface="Calibri"/>
              <a:cs typeface="Calibri"/>
            </a:rPr>
            <a:pPr algn="ctr"/>
            <a:t>Meta 5</a:t>
          </a:fld>
          <a:endParaRPr lang="en-US" sz="1200" b="1" i="0" u="none" strike="noStrike">
            <a:solidFill>
              <a:schemeClr val="tx1"/>
            </a:solidFill>
            <a:latin typeface="Calibri"/>
            <a:cs typeface="Calibri"/>
          </a:endParaRPr>
        </a:p>
      </xdr:txBody>
    </xdr:sp>
    <xdr:clientData/>
  </xdr:twoCellAnchor>
  <xdr:twoCellAnchor>
    <xdr:from>
      <xdr:col>10</xdr:col>
      <xdr:colOff>609600</xdr:colOff>
      <xdr:row>2</xdr:row>
      <xdr:rowOff>66675</xdr:rowOff>
    </xdr:from>
    <xdr:to>
      <xdr:col>11</xdr:col>
      <xdr:colOff>832926</xdr:colOff>
      <xdr:row>3</xdr:row>
      <xdr:rowOff>58516</xdr:rowOff>
    </xdr:to>
    <xdr:sp macro="" textlink="'AP1'!G10">
      <xdr:nvSpPr>
        <xdr:cNvPr id="20" name="Rectángulo 19">
          <a:hlinkClick xmlns:r="http://schemas.openxmlformats.org/officeDocument/2006/relationships" r:id="rId18"/>
          <a:extLst>
            <a:ext uri="{FF2B5EF4-FFF2-40B4-BE49-F238E27FC236}">
              <a16:creationId xmlns:a16="http://schemas.microsoft.com/office/drawing/2014/main" id="{3C3AAB36-CF1F-4A02-8299-517530423A1F}"/>
            </a:ext>
          </a:extLst>
        </xdr:cNvPr>
        <xdr:cNvSpPr/>
      </xdr:nvSpPr>
      <xdr:spPr>
        <a:xfrm>
          <a:off x="13573125" y="876300"/>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7869B3-A561-4D4A-B111-9C4356931955}" type="TxLink">
            <a:rPr lang="en-US" sz="1200" b="1" i="0" u="none" strike="noStrike">
              <a:solidFill>
                <a:srgbClr val="FFFFFF"/>
              </a:solidFill>
              <a:latin typeface="Calibri"/>
              <a:cs typeface="Calibri"/>
            </a:rPr>
            <a:pPr algn="ctr"/>
            <a:t>Meta 6</a:t>
          </a:fld>
          <a:endParaRPr lang="en-US" sz="1200" b="1" i="0" u="none" strike="noStrike">
            <a:solidFill>
              <a:schemeClr val="bg1"/>
            </a:solidFill>
            <a:latin typeface="Calibri"/>
            <a:cs typeface="Calibri"/>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2</xdr:col>
      <xdr:colOff>9525</xdr:colOff>
      <xdr:row>0</xdr:row>
      <xdr:rowOff>0</xdr:rowOff>
    </xdr:from>
    <xdr:to>
      <xdr:col>3</xdr:col>
      <xdr:colOff>154599</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0950F05F-54A2-48AD-8C6C-B0AD20816C73}"/>
            </a:ext>
          </a:extLst>
        </xdr:cNvPr>
        <xdr:cNvSpPr txBox="1"/>
      </xdr:nvSpPr>
      <xdr:spPr>
        <a:xfrm>
          <a:off x="19050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3</xdr:col>
      <xdr:colOff>205887</xdr:colOff>
      <xdr:row>0</xdr:row>
      <xdr:rowOff>0</xdr:rowOff>
    </xdr:from>
    <xdr:to>
      <xdr:col>4</xdr:col>
      <xdr:colOff>731960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A5F992D0-CAF5-49BE-958E-D8F52B0C2547}"/>
            </a:ext>
          </a:extLst>
        </xdr:cNvPr>
        <xdr:cNvSpPr txBox="1"/>
      </xdr:nvSpPr>
      <xdr:spPr>
        <a:xfrm>
          <a:off x="381586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4</xdr:col>
      <xdr:colOff>777845</xdr:colOff>
      <xdr:row>0</xdr:row>
      <xdr:rowOff>0</xdr:rowOff>
    </xdr:from>
    <xdr:to>
      <xdr:col>5</xdr:col>
      <xdr:colOff>855052</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73CD8496-044A-47AB-9A04-B0142105A61E}"/>
            </a:ext>
          </a:extLst>
        </xdr:cNvPr>
        <xdr:cNvSpPr txBox="1"/>
      </xdr:nvSpPr>
      <xdr:spPr>
        <a:xfrm>
          <a:off x="61023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5</xdr:col>
      <xdr:colOff>898461</xdr:colOff>
      <xdr:row>0</xdr:row>
      <xdr:rowOff>0</xdr:rowOff>
    </xdr:from>
    <xdr:to>
      <xdr:col>6</xdr:col>
      <xdr:colOff>842593</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9F92BCE8-C3F0-49DC-9E39-969D1A25BA9C}"/>
            </a:ext>
          </a:extLst>
        </xdr:cNvPr>
        <xdr:cNvSpPr txBox="1"/>
      </xdr:nvSpPr>
      <xdr:spPr>
        <a:xfrm>
          <a:off x="79374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9525</xdr:colOff>
      <xdr:row>0</xdr:row>
      <xdr:rowOff>0</xdr:rowOff>
    </xdr:from>
    <xdr:to>
      <xdr:col>2</xdr:col>
      <xdr:colOff>507756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D20918E3-03C1-4277-B946-674232BDF70A}"/>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9050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227868</xdr:colOff>
      <xdr:row>0</xdr:row>
      <xdr:rowOff>14654</xdr:rowOff>
    </xdr:from>
    <xdr:to>
      <xdr:col>3</xdr:col>
      <xdr:colOff>696789</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6630AE94-BF1A-4BB1-920F-15E6A3B96F9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378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797902</xdr:colOff>
      <xdr:row>0</xdr:row>
      <xdr:rowOff>0</xdr:rowOff>
    </xdr:from>
    <xdr:to>
      <xdr:col>4</xdr:col>
      <xdr:colOff>1193555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1BBF3660-AF12-4E39-A361-6E6699EB909A}"/>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1223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913665</xdr:colOff>
      <xdr:row>0</xdr:row>
      <xdr:rowOff>14654</xdr:rowOff>
    </xdr:from>
    <xdr:to>
      <xdr:col>5</xdr:col>
      <xdr:colOff>1492492</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6CD04D68-72C3-4186-AF3E-B7596DBAF716}"/>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9526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895350</xdr:colOff>
      <xdr:row>1</xdr:row>
      <xdr:rowOff>9525</xdr:rowOff>
    </xdr:from>
    <xdr:to>
      <xdr:col>3</xdr:col>
      <xdr:colOff>1230967</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219866C3-D94A-457F-83BC-A7A965068A7A}"/>
            </a:ext>
          </a:extLst>
        </xdr:cNvPr>
        <xdr:cNvSpPr/>
      </xdr:nvSpPr>
      <xdr:spPr>
        <a:xfrm>
          <a:off x="279082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3</xdr:col>
      <xdr:colOff>1240058</xdr:colOff>
      <xdr:row>1</xdr:row>
      <xdr:rowOff>9525</xdr:rowOff>
    </xdr:from>
    <xdr:to>
      <xdr:col>4</xdr:col>
      <xdr:colOff>850399</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522317D4-3650-4CB7-9528-E09641E116F5}"/>
            </a:ext>
          </a:extLst>
        </xdr:cNvPr>
        <xdr:cNvSpPr/>
      </xdr:nvSpPr>
      <xdr:spPr>
        <a:xfrm>
          <a:off x="4850033"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4</xdr:col>
      <xdr:colOff>859925</xdr:colOff>
      <xdr:row>1</xdr:row>
      <xdr:rowOff>9525</xdr:rowOff>
    </xdr:from>
    <xdr:to>
      <xdr:col>5</xdr:col>
      <xdr:colOff>297084</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7F32D0E9-4A58-4733-8927-0282FDB4D5D0}"/>
            </a:ext>
          </a:extLst>
        </xdr:cNvPr>
        <xdr:cNvSpPr/>
      </xdr:nvSpPr>
      <xdr:spPr>
        <a:xfrm>
          <a:off x="6184400"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5</xdr:col>
      <xdr:colOff>316567</xdr:colOff>
      <xdr:row>1</xdr:row>
      <xdr:rowOff>9525</xdr:rowOff>
    </xdr:from>
    <xdr:to>
      <xdr:col>6</xdr:col>
      <xdr:colOff>30817</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F42BBC4D-748C-4552-B5B9-986C8D75FBEA}"/>
            </a:ext>
          </a:extLst>
        </xdr:cNvPr>
        <xdr:cNvSpPr/>
      </xdr:nvSpPr>
      <xdr:spPr>
        <a:xfrm>
          <a:off x="7355542"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6</xdr:col>
      <xdr:colOff>49867</xdr:colOff>
      <xdr:row>1</xdr:row>
      <xdr:rowOff>9525</xdr:rowOff>
    </xdr:from>
    <xdr:to>
      <xdr:col>7</xdr:col>
      <xdr:colOff>126067</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8C835455-2B0D-45E1-AB15-9ECC43A0619B}"/>
            </a:ext>
          </a:extLst>
        </xdr:cNvPr>
        <xdr:cNvSpPr/>
      </xdr:nvSpPr>
      <xdr:spPr>
        <a:xfrm>
          <a:off x="9136717" y="504825"/>
          <a:ext cx="14573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tx1"/>
              </a:solidFill>
              <a:latin typeface="CALIBRI"/>
              <a:cs typeface="CALIBRI"/>
            </a:rPr>
            <a:pPr algn="ctr"/>
            <a:t>2.5. Plan de acción</a:t>
          </a:fld>
          <a:endParaRPr lang="en-US" sz="3200" b="1">
            <a:solidFill>
              <a:schemeClr val="tx1"/>
            </a:solidFill>
          </a:endParaRPr>
        </a:p>
      </xdr:txBody>
    </xdr:sp>
    <xdr:clientData/>
  </xdr:twoCellAnchor>
  <xdr:twoCellAnchor>
    <xdr:from>
      <xdr:col>5</xdr:col>
      <xdr:colOff>247650</xdr:colOff>
      <xdr:row>2</xdr:row>
      <xdr:rowOff>57150</xdr:rowOff>
    </xdr:from>
    <xdr:to>
      <xdr:col>5</xdr:col>
      <xdr:colOff>1452051</xdr:colOff>
      <xdr:row>3</xdr:row>
      <xdr:rowOff>48991</xdr:rowOff>
    </xdr:to>
    <xdr:sp macro="" textlink="'AP1'!B10">
      <xdr:nvSpPr>
        <xdr:cNvPr id="15" name="Rectángulo 14">
          <a:hlinkClick xmlns:r="http://schemas.openxmlformats.org/officeDocument/2006/relationships" r:id="rId13"/>
          <a:extLst>
            <a:ext uri="{FF2B5EF4-FFF2-40B4-BE49-F238E27FC236}">
              <a16:creationId xmlns:a16="http://schemas.microsoft.com/office/drawing/2014/main" id="{286C393A-8381-44F0-8F59-1D56FD540EB7}"/>
            </a:ext>
          </a:extLst>
        </xdr:cNvPr>
        <xdr:cNvSpPr/>
      </xdr:nvSpPr>
      <xdr:spPr>
        <a:xfrm>
          <a:off x="7286625" y="866775"/>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27FBC704-5B6D-491A-AE2B-9577AAFBC21B}" type="TxLink">
            <a:rPr lang="en-US" sz="1200" b="1" i="0" u="none" strike="noStrike">
              <a:solidFill>
                <a:schemeClr val="bg1"/>
              </a:solidFill>
              <a:latin typeface="Calibri"/>
              <a:cs typeface="Calibri"/>
            </a:rPr>
            <a:pPr algn="ctr"/>
            <a:t>Meta 1</a:t>
          </a:fld>
          <a:endParaRPr lang="en-US" sz="1200" b="1" i="0" u="none" strike="noStrike">
            <a:solidFill>
              <a:schemeClr val="bg1"/>
            </a:solidFill>
            <a:latin typeface="Calibri"/>
            <a:cs typeface="Calibri"/>
          </a:endParaRPr>
        </a:p>
      </xdr:txBody>
    </xdr:sp>
    <xdr:clientData/>
  </xdr:twoCellAnchor>
  <xdr:twoCellAnchor>
    <xdr:from>
      <xdr:col>5</xdr:col>
      <xdr:colOff>1504950</xdr:colOff>
      <xdr:row>2</xdr:row>
      <xdr:rowOff>57150</xdr:rowOff>
    </xdr:from>
    <xdr:to>
      <xdr:col>6</xdr:col>
      <xdr:colOff>661476</xdr:colOff>
      <xdr:row>3</xdr:row>
      <xdr:rowOff>48991</xdr:rowOff>
    </xdr:to>
    <xdr:sp macro="" textlink="'AP1'!C10">
      <xdr:nvSpPr>
        <xdr:cNvPr id="16" name="Rectángulo 15">
          <a:hlinkClick xmlns:r="http://schemas.openxmlformats.org/officeDocument/2006/relationships" r:id="rId14"/>
          <a:extLst>
            <a:ext uri="{FF2B5EF4-FFF2-40B4-BE49-F238E27FC236}">
              <a16:creationId xmlns:a16="http://schemas.microsoft.com/office/drawing/2014/main" id="{4FA2E892-8DA7-42F5-BD18-0C165CA6244E}"/>
            </a:ext>
          </a:extLst>
        </xdr:cNvPr>
        <xdr:cNvSpPr/>
      </xdr:nvSpPr>
      <xdr:spPr>
        <a:xfrm>
          <a:off x="8543925" y="866775"/>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DD00A0B-B878-460E-A94B-3BB9DAC07330}" type="TxLink">
            <a:rPr lang="en-US" sz="1200" b="1" i="0" u="none" strike="noStrike">
              <a:solidFill>
                <a:srgbClr val="FFFFFF"/>
              </a:solidFill>
              <a:latin typeface="Calibri"/>
              <a:cs typeface="Calibri"/>
            </a:rPr>
            <a:pPr algn="ctr"/>
            <a:t>Meta 2</a:t>
          </a:fld>
          <a:endParaRPr lang="en-US"/>
        </a:p>
      </xdr:txBody>
    </xdr:sp>
    <xdr:clientData/>
  </xdr:twoCellAnchor>
  <xdr:twoCellAnchor>
    <xdr:from>
      <xdr:col>6</xdr:col>
      <xdr:colOff>714375</xdr:colOff>
      <xdr:row>2</xdr:row>
      <xdr:rowOff>57150</xdr:rowOff>
    </xdr:from>
    <xdr:to>
      <xdr:col>7</xdr:col>
      <xdr:colOff>537651</xdr:colOff>
      <xdr:row>3</xdr:row>
      <xdr:rowOff>48991</xdr:rowOff>
    </xdr:to>
    <xdr:sp macro="" textlink="'AP1'!D10">
      <xdr:nvSpPr>
        <xdr:cNvPr id="17" name="Rectángulo 16">
          <a:hlinkClick xmlns:r="http://schemas.openxmlformats.org/officeDocument/2006/relationships" r:id="rId15"/>
          <a:extLst>
            <a:ext uri="{FF2B5EF4-FFF2-40B4-BE49-F238E27FC236}">
              <a16:creationId xmlns:a16="http://schemas.microsoft.com/office/drawing/2014/main" id="{D7D1EABE-AFA7-43DC-AEF8-6A2347B9D174}"/>
            </a:ext>
          </a:extLst>
        </xdr:cNvPr>
        <xdr:cNvSpPr/>
      </xdr:nvSpPr>
      <xdr:spPr>
        <a:xfrm>
          <a:off x="9801225" y="866775"/>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462561C-C0B5-4D23-A45C-45F042767EE4}" type="TxLink">
            <a:rPr lang="en-US" sz="1200" b="1" i="0" u="none" strike="noStrike">
              <a:solidFill>
                <a:srgbClr val="FFFFFF"/>
              </a:solidFill>
              <a:latin typeface="Calibri"/>
              <a:cs typeface="Calibri"/>
            </a:rPr>
            <a:pPr algn="ctr"/>
            <a:t>Meta 3</a:t>
          </a:fld>
          <a:endParaRPr lang="en-US" sz="1200" b="1" i="0" u="none" strike="noStrike">
            <a:solidFill>
              <a:schemeClr val="bg1"/>
            </a:solidFill>
            <a:latin typeface="Calibri"/>
            <a:cs typeface="Calibri"/>
          </a:endParaRPr>
        </a:p>
      </xdr:txBody>
    </xdr:sp>
    <xdr:clientData/>
  </xdr:twoCellAnchor>
  <xdr:twoCellAnchor>
    <xdr:from>
      <xdr:col>7</xdr:col>
      <xdr:colOff>590550</xdr:colOff>
      <xdr:row>2</xdr:row>
      <xdr:rowOff>57150</xdr:rowOff>
    </xdr:from>
    <xdr:to>
      <xdr:col>9</xdr:col>
      <xdr:colOff>413826</xdr:colOff>
      <xdr:row>3</xdr:row>
      <xdr:rowOff>48991</xdr:rowOff>
    </xdr:to>
    <xdr:sp macro="" textlink="'AP1'!E10">
      <xdr:nvSpPr>
        <xdr:cNvPr id="18" name="Rectángulo 17">
          <a:hlinkClick xmlns:r="http://schemas.openxmlformats.org/officeDocument/2006/relationships" r:id="rId16"/>
          <a:extLst>
            <a:ext uri="{FF2B5EF4-FFF2-40B4-BE49-F238E27FC236}">
              <a16:creationId xmlns:a16="http://schemas.microsoft.com/office/drawing/2014/main" id="{8A56A14E-7656-4E10-94CC-D797E41C764A}"/>
            </a:ext>
          </a:extLst>
        </xdr:cNvPr>
        <xdr:cNvSpPr/>
      </xdr:nvSpPr>
      <xdr:spPr>
        <a:xfrm>
          <a:off x="11058525" y="866775"/>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BDB60270-A381-415D-B1D5-9C4A7A259109}" type="TxLink">
            <a:rPr lang="en-US" sz="1200" b="1" i="0" u="none" strike="noStrike">
              <a:solidFill>
                <a:srgbClr val="FFFFFF"/>
              </a:solidFill>
              <a:latin typeface="Calibri"/>
              <a:cs typeface="Calibri"/>
            </a:rPr>
            <a:pPr algn="ctr"/>
            <a:t>Meta 4</a:t>
          </a:fld>
          <a:endParaRPr lang="en-US" sz="1200" b="1" i="0" u="none" strike="noStrike">
            <a:solidFill>
              <a:srgbClr val="FFFFFF"/>
            </a:solidFill>
            <a:latin typeface="Calibri"/>
            <a:cs typeface="Calibri"/>
          </a:endParaRPr>
        </a:p>
      </xdr:txBody>
    </xdr:sp>
    <xdr:clientData/>
  </xdr:twoCellAnchor>
  <xdr:twoCellAnchor>
    <xdr:from>
      <xdr:col>9</xdr:col>
      <xdr:colOff>466725</xdr:colOff>
      <xdr:row>2</xdr:row>
      <xdr:rowOff>57150</xdr:rowOff>
    </xdr:from>
    <xdr:to>
      <xdr:col>10</xdr:col>
      <xdr:colOff>556701</xdr:colOff>
      <xdr:row>3</xdr:row>
      <xdr:rowOff>48991</xdr:rowOff>
    </xdr:to>
    <xdr:sp macro="" textlink="'AP1'!F10">
      <xdr:nvSpPr>
        <xdr:cNvPr id="19" name="Rectángulo 18">
          <a:hlinkClick xmlns:r="http://schemas.openxmlformats.org/officeDocument/2006/relationships" r:id="rId17"/>
          <a:extLst>
            <a:ext uri="{FF2B5EF4-FFF2-40B4-BE49-F238E27FC236}">
              <a16:creationId xmlns:a16="http://schemas.microsoft.com/office/drawing/2014/main" id="{644E838A-85EF-4CB9-912C-6DA464762E27}"/>
            </a:ext>
          </a:extLst>
        </xdr:cNvPr>
        <xdr:cNvSpPr/>
      </xdr:nvSpPr>
      <xdr:spPr>
        <a:xfrm>
          <a:off x="12315825" y="866775"/>
          <a:ext cx="1204401"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1F3F83AA-5A39-4061-88E2-5A91A9339F55}" type="TxLink">
            <a:rPr lang="en-US" sz="1200" b="1" i="0" u="none" strike="noStrike">
              <a:solidFill>
                <a:srgbClr val="FFFFFF"/>
              </a:solidFill>
              <a:latin typeface="Calibri"/>
              <a:cs typeface="Calibri"/>
            </a:rPr>
            <a:pPr algn="ctr"/>
            <a:t>Meta 5</a:t>
          </a:fld>
          <a:endParaRPr lang="en-US" sz="1200" b="1" i="0" u="none" strike="noStrike">
            <a:solidFill>
              <a:schemeClr val="bg1"/>
            </a:solidFill>
            <a:latin typeface="Calibri"/>
            <a:cs typeface="Calibri"/>
          </a:endParaRPr>
        </a:p>
      </xdr:txBody>
    </xdr:sp>
    <xdr:clientData/>
  </xdr:twoCellAnchor>
  <xdr:twoCellAnchor>
    <xdr:from>
      <xdr:col>10</xdr:col>
      <xdr:colOff>609600</xdr:colOff>
      <xdr:row>2</xdr:row>
      <xdr:rowOff>57150</xdr:rowOff>
    </xdr:from>
    <xdr:to>
      <xdr:col>11</xdr:col>
      <xdr:colOff>832926</xdr:colOff>
      <xdr:row>3</xdr:row>
      <xdr:rowOff>48991</xdr:rowOff>
    </xdr:to>
    <xdr:sp macro="" textlink="'AP1'!G10">
      <xdr:nvSpPr>
        <xdr:cNvPr id="20" name="Rectángulo 19">
          <a:hlinkClick xmlns:r="http://schemas.openxmlformats.org/officeDocument/2006/relationships" r:id="rId18"/>
          <a:extLst>
            <a:ext uri="{FF2B5EF4-FFF2-40B4-BE49-F238E27FC236}">
              <a16:creationId xmlns:a16="http://schemas.microsoft.com/office/drawing/2014/main" id="{4C265E81-1E7B-479E-9B91-9426EA5F1D3B}"/>
            </a:ext>
          </a:extLst>
        </xdr:cNvPr>
        <xdr:cNvSpPr/>
      </xdr:nvSpPr>
      <xdr:spPr>
        <a:xfrm>
          <a:off x="13573125" y="866775"/>
          <a:ext cx="1204401"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67869B3-A561-4D4A-B111-9C4356931955}" type="TxLink">
            <a:rPr lang="en-US" sz="1200" b="1" i="0" u="none" strike="noStrike">
              <a:solidFill>
                <a:schemeClr val="tx1"/>
              </a:solidFill>
              <a:latin typeface="Calibri"/>
              <a:cs typeface="Calibri"/>
            </a:rPr>
            <a:pPr algn="ctr"/>
            <a:t>Meta 6</a:t>
          </a:fld>
          <a:endParaRPr lang="en-US" sz="1200" b="1" i="0" u="none" strike="noStrike">
            <a:solidFill>
              <a:schemeClr val="tx1"/>
            </a:solidFill>
            <a:latin typeface="Calibri"/>
            <a:cs typeface="Calibri"/>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396240</xdr:colOff>
      <xdr:row>8</xdr:row>
      <xdr:rowOff>38100</xdr:rowOff>
    </xdr:from>
    <xdr:to>
      <xdr:col>8</xdr:col>
      <xdr:colOff>0</xdr:colOff>
      <xdr:row>10</xdr:row>
      <xdr:rowOff>220980</xdr:rowOff>
    </xdr:to>
    <xdr:sp macro="" textlink="">
      <xdr:nvSpPr>
        <xdr:cNvPr id="4" name="Rectangle 3">
          <a:extLst>
            <a:ext uri="{FF2B5EF4-FFF2-40B4-BE49-F238E27FC236}">
              <a16:creationId xmlns:a16="http://schemas.microsoft.com/office/drawing/2014/main" id="{DA58CC6D-0029-4B1D-9EF5-0A835DFF05FC}"/>
            </a:ext>
          </a:extLst>
        </xdr:cNvPr>
        <xdr:cNvSpPr/>
      </xdr:nvSpPr>
      <xdr:spPr>
        <a:xfrm>
          <a:off x="5646420" y="792480"/>
          <a:ext cx="2270760" cy="685800"/>
        </a:xfrm>
        <a:prstGeom prst="rect">
          <a:avLst/>
        </a:prstGeom>
        <a:solidFill>
          <a:schemeClr val="bg1">
            <a:lumMod val="85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mc:AlternateContent xmlns:mc="http://schemas.openxmlformats.org/markup-compatibility/2006">
    <mc:Choice xmlns:a14="http://schemas.microsoft.com/office/drawing/2010/main" Requires="a14">
      <xdr:twoCellAnchor editAs="oneCell">
        <xdr:from>
          <xdr:col>5</xdr:col>
          <xdr:colOff>137160</xdr:colOff>
          <xdr:row>9</xdr:row>
          <xdr:rowOff>38100</xdr:rowOff>
        </xdr:from>
        <xdr:to>
          <xdr:col>7</xdr:col>
          <xdr:colOff>563880</xdr:colOff>
          <xdr:row>10</xdr:row>
          <xdr:rowOff>190500</xdr:rowOff>
        </xdr:to>
        <xdr:pic>
          <xdr:nvPicPr>
            <xdr:cNvPr id="9" name="Picture 8">
              <a:extLst>
                <a:ext uri="{FF2B5EF4-FFF2-40B4-BE49-F238E27FC236}">
                  <a16:creationId xmlns:a16="http://schemas.microsoft.com/office/drawing/2014/main" id="{4AE3B1B1-A1FE-46C2-A723-4CED187C35F9}"/>
                </a:ext>
              </a:extLst>
            </xdr:cNvPr>
            <xdr:cNvPicPr>
              <a:picLocks noChangeAspect="1" noChangeArrowheads="1"/>
              <a:extLst>
                <a:ext uri="{84589F7E-364E-4C9E-8A38-B11213B215E9}">
                  <a14:cameraTool cellRange="AuxR!$E$86" spid="_x0000_s375061"/>
                </a:ext>
              </a:extLst>
            </xdr:cNvPicPr>
          </xdr:nvPicPr>
          <xdr:blipFill>
            <a:blip xmlns:r="http://schemas.openxmlformats.org/officeDocument/2006/relationships" r:embed="rId1"/>
            <a:srcRect/>
            <a:stretch>
              <a:fillRect/>
            </a:stretch>
          </xdr:blipFill>
          <xdr:spPr bwMode="auto">
            <a:xfrm>
              <a:off x="5935980" y="1043940"/>
              <a:ext cx="1257300" cy="40386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4</xdr:col>
      <xdr:colOff>403860</xdr:colOff>
      <xdr:row>8</xdr:row>
      <xdr:rowOff>76200</xdr:rowOff>
    </xdr:from>
    <xdr:ext cx="1082040" cy="248851"/>
    <xdr:sp macro="" textlink="Lan!F77">
      <xdr:nvSpPr>
        <xdr:cNvPr id="5" name="TextBox 4">
          <a:extLst>
            <a:ext uri="{FF2B5EF4-FFF2-40B4-BE49-F238E27FC236}">
              <a16:creationId xmlns:a16="http://schemas.microsoft.com/office/drawing/2014/main" id="{DDBE0C7C-C96A-4463-BCAE-4CCD1F0EB366}"/>
            </a:ext>
          </a:extLst>
        </xdr:cNvPr>
        <xdr:cNvSpPr txBox="1"/>
      </xdr:nvSpPr>
      <xdr:spPr>
        <a:xfrm>
          <a:off x="5654040" y="830580"/>
          <a:ext cx="10820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AB0F0F01-B384-4031-9F2A-8B6CADDB0D65}"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oneCellAnchor>
    <xdr:from>
      <xdr:col>7</xdr:col>
      <xdr:colOff>144780</xdr:colOff>
      <xdr:row>8</xdr:row>
      <xdr:rowOff>76200</xdr:rowOff>
    </xdr:from>
    <xdr:ext cx="1120140" cy="248851"/>
    <xdr:sp macro="" textlink="Lan!F78">
      <xdr:nvSpPr>
        <xdr:cNvPr id="6" name="TextBox 5">
          <a:extLst>
            <a:ext uri="{FF2B5EF4-FFF2-40B4-BE49-F238E27FC236}">
              <a16:creationId xmlns:a16="http://schemas.microsoft.com/office/drawing/2014/main" id="{FB593F7E-896F-4A9C-891B-6F6001C1038E}"/>
            </a:ext>
          </a:extLst>
        </xdr:cNvPr>
        <xdr:cNvSpPr txBox="1"/>
      </xdr:nvSpPr>
      <xdr:spPr>
        <a:xfrm>
          <a:off x="6774180" y="830580"/>
          <a:ext cx="11201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56B1419-2A37-4FA3-B766-18D9265AF25B}"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twoCellAnchor>
    <xdr:from>
      <xdr:col>7</xdr:col>
      <xdr:colOff>137160</xdr:colOff>
      <xdr:row>8</xdr:row>
      <xdr:rowOff>123635</xdr:rowOff>
    </xdr:from>
    <xdr:to>
      <xdr:col>7</xdr:col>
      <xdr:colOff>137160</xdr:colOff>
      <xdr:row>10</xdr:row>
      <xdr:rowOff>127826</xdr:rowOff>
    </xdr:to>
    <xdr:cxnSp macro="">
      <xdr:nvCxnSpPr>
        <xdr:cNvPr id="8" name="Straight Connector 7">
          <a:extLst>
            <a:ext uri="{FF2B5EF4-FFF2-40B4-BE49-F238E27FC236}">
              <a16:creationId xmlns:a16="http://schemas.microsoft.com/office/drawing/2014/main" id="{14D42069-8DA0-419F-9AD4-EAFB5089481D}"/>
            </a:ext>
          </a:extLst>
        </xdr:cNvPr>
        <xdr:cNvCxnSpPr/>
      </xdr:nvCxnSpPr>
      <xdr:spPr>
        <a:xfrm>
          <a:off x="6766560" y="878015"/>
          <a:ext cx="0" cy="5071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342900</xdr:colOff>
      <xdr:row>9</xdr:row>
      <xdr:rowOff>91440</xdr:rowOff>
    </xdr:from>
    <xdr:ext cx="1089660" cy="342786"/>
    <xdr:sp macro="" textlink="AuxR!C86">
      <xdr:nvSpPr>
        <xdr:cNvPr id="10" name="TextBox 9">
          <a:extLst>
            <a:ext uri="{FF2B5EF4-FFF2-40B4-BE49-F238E27FC236}">
              <a16:creationId xmlns:a16="http://schemas.microsoft.com/office/drawing/2014/main" id="{912907FA-F3E2-4DF1-8F36-2A89DF0AA876}"/>
            </a:ext>
          </a:extLst>
        </xdr:cNvPr>
        <xdr:cNvSpPr txBox="1"/>
      </xdr:nvSpPr>
      <xdr:spPr>
        <a:xfrm>
          <a:off x="3863340" y="2034540"/>
          <a:ext cx="108966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D51C2176-DD84-48D0-9C70-AB533D85C653}" type="TxLink">
            <a:rPr lang="en-US" sz="1600" b="0" i="0" u="none" strike="noStrike">
              <a:solidFill>
                <a:schemeClr val="tx1">
                  <a:lumMod val="65000"/>
                  <a:lumOff val="35000"/>
                </a:schemeClr>
              </a:solidFill>
              <a:latin typeface="CALIBRI"/>
              <a:cs typeface="CALIBRI"/>
            </a:rPr>
            <a:pPr algn="ctr"/>
            <a:t>110.4%</a:t>
          </a:fld>
          <a:endParaRPr lang="fr-CA" sz="1600">
            <a:solidFill>
              <a:schemeClr val="tx1">
                <a:lumMod val="65000"/>
                <a:lumOff val="35000"/>
              </a:schemeClr>
            </a:solidFill>
          </a:endParaRPr>
        </a:p>
      </xdr:txBody>
    </xdr:sp>
    <xdr:clientData/>
  </xdr:oneCellAnchor>
  <xdr:oneCellAnchor>
    <xdr:from>
      <xdr:col>7</xdr:col>
      <xdr:colOff>22860</xdr:colOff>
      <xdr:row>9</xdr:row>
      <xdr:rowOff>83820</xdr:rowOff>
    </xdr:from>
    <xdr:ext cx="1135380" cy="342786"/>
    <xdr:sp macro="" textlink="AuxR!D86">
      <xdr:nvSpPr>
        <xdr:cNvPr id="11" name="TextBox 10">
          <a:extLst>
            <a:ext uri="{FF2B5EF4-FFF2-40B4-BE49-F238E27FC236}">
              <a16:creationId xmlns:a16="http://schemas.microsoft.com/office/drawing/2014/main" id="{EE9CFE25-C643-48BD-8624-4946CCC4F7F8}"/>
            </a:ext>
          </a:extLst>
        </xdr:cNvPr>
        <xdr:cNvSpPr txBox="1"/>
      </xdr:nvSpPr>
      <xdr:spPr>
        <a:xfrm>
          <a:off x="4922520" y="2026920"/>
          <a:ext cx="11353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29B95BC-A253-4F45-A631-153E70D28FE7}" type="TxLink">
            <a:rPr lang="en-US" sz="1600" b="0" i="0" u="none" strike="noStrike">
              <a:solidFill>
                <a:schemeClr val="tx1">
                  <a:lumMod val="65000"/>
                  <a:lumOff val="35000"/>
                </a:schemeClr>
              </a:solidFill>
              <a:latin typeface="CALIBRI"/>
              <a:cs typeface="CALIBRI"/>
            </a:rPr>
            <a:pPr algn="ctr"/>
            <a:t>0.0%</a:t>
          </a:fld>
          <a:endParaRPr lang="fr-CA" sz="1600">
            <a:solidFill>
              <a:schemeClr val="tx1">
                <a:lumMod val="65000"/>
                <a:lumOff val="35000"/>
              </a:schemeClr>
            </a:solidFill>
          </a:endParaRPr>
        </a:p>
      </xdr:txBody>
    </xdr:sp>
    <xdr:clientData/>
  </xdr:oneCellAnchor>
  <mc:AlternateContent xmlns:mc="http://schemas.openxmlformats.org/markup-compatibility/2006">
    <mc:Choice xmlns:a14="http://schemas.microsoft.com/office/drawing/2010/main" Requires="a14">
      <xdr:twoCellAnchor editAs="oneCell">
        <xdr:from>
          <xdr:col>7</xdr:col>
          <xdr:colOff>632460</xdr:colOff>
          <xdr:row>9</xdr:row>
          <xdr:rowOff>7620</xdr:rowOff>
        </xdr:from>
        <xdr:to>
          <xdr:col>9</xdr:col>
          <xdr:colOff>91440</xdr:colOff>
          <xdr:row>10</xdr:row>
          <xdr:rowOff>160020</xdr:rowOff>
        </xdr:to>
        <xdr:pic>
          <xdr:nvPicPr>
            <xdr:cNvPr id="12" name="Picture 11">
              <a:extLst>
                <a:ext uri="{FF2B5EF4-FFF2-40B4-BE49-F238E27FC236}">
                  <a16:creationId xmlns:a16="http://schemas.microsoft.com/office/drawing/2014/main" id="{54E6B5E7-4BDC-4D4D-8A19-6B8C6C408C2D}"/>
                </a:ext>
              </a:extLst>
            </xdr:cNvPr>
            <xdr:cNvPicPr>
              <a:picLocks noChangeAspect="1" noChangeArrowheads="1"/>
              <a:extLst>
                <a:ext uri="{84589F7E-364E-4C9E-8A38-B11213B215E9}">
                  <a14:cameraTool cellRange="AuxR!$F$86" spid="_x0000_s375062"/>
                </a:ext>
              </a:extLst>
            </xdr:cNvPicPr>
          </xdr:nvPicPr>
          <xdr:blipFill>
            <a:blip xmlns:r="http://schemas.openxmlformats.org/officeDocument/2006/relationships" r:embed="rId2"/>
            <a:srcRect/>
            <a:stretch>
              <a:fillRect/>
            </a:stretch>
          </xdr:blipFill>
          <xdr:spPr bwMode="auto">
            <a:xfrm>
              <a:off x="5532120" y="1950720"/>
              <a:ext cx="998220" cy="40386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396240</xdr:colOff>
      <xdr:row>8</xdr:row>
      <xdr:rowOff>38100</xdr:rowOff>
    </xdr:from>
    <xdr:to>
      <xdr:col>16</xdr:col>
      <xdr:colOff>0</xdr:colOff>
      <xdr:row>10</xdr:row>
      <xdr:rowOff>220980</xdr:rowOff>
    </xdr:to>
    <xdr:sp macro="" textlink="">
      <xdr:nvSpPr>
        <xdr:cNvPr id="13" name="Rectangle 12">
          <a:extLst>
            <a:ext uri="{FF2B5EF4-FFF2-40B4-BE49-F238E27FC236}">
              <a16:creationId xmlns:a16="http://schemas.microsoft.com/office/drawing/2014/main" id="{A3C5085C-2043-4F91-ACC1-57C302C4EC57}"/>
            </a:ext>
          </a:extLst>
        </xdr:cNvPr>
        <xdr:cNvSpPr/>
      </xdr:nvSpPr>
      <xdr:spPr>
        <a:xfrm>
          <a:off x="11978640" y="792480"/>
          <a:ext cx="2270760" cy="685800"/>
        </a:xfrm>
        <a:prstGeom prst="rect">
          <a:avLst/>
        </a:prstGeom>
        <a:solidFill>
          <a:schemeClr val="bg1">
            <a:lumMod val="85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15</xdr:col>
      <xdr:colOff>167640</xdr:colOff>
      <xdr:row>8</xdr:row>
      <xdr:rowOff>146495</xdr:rowOff>
    </xdr:from>
    <xdr:to>
      <xdr:col>15</xdr:col>
      <xdr:colOff>167640</xdr:colOff>
      <xdr:row>10</xdr:row>
      <xdr:rowOff>150686</xdr:rowOff>
    </xdr:to>
    <xdr:cxnSp macro="">
      <xdr:nvCxnSpPr>
        <xdr:cNvPr id="14" name="Straight Connector 13">
          <a:extLst>
            <a:ext uri="{FF2B5EF4-FFF2-40B4-BE49-F238E27FC236}">
              <a16:creationId xmlns:a16="http://schemas.microsoft.com/office/drawing/2014/main" id="{9EF9A3FE-1701-4F29-A5B4-A0FC1FD31327}"/>
            </a:ext>
          </a:extLst>
        </xdr:cNvPr>
        <xdr:cNvCxnSpPr/>
      </xdr:nvCxnSpPr>
      <xdr:spPr>
        <a:xfrm>
          <a:off x="13129260" y="900875"/>
          <a:ext cx="0" cy="5071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441960</xdr:colOff>
      <xdr:row>8</xdr:row>
      <xdr:rowOff>68580</xdr:rowOff>
    </xdr:from>
    <xdr:ext cx="1082040" cy="248851"/>
    <xdr:sp macro="" textlink="Lan!F77">
      <xdr:nvSpPr>
        <xdr:cNvPr id="15" name="TextBox 14">
          <a:extLst>
            <a:ext uri="{FF2B5EF4-FFF2-40B4-BE49-F238E27FC236}">
              <a16:creationId xmlns:a16="http://schemas.microsoft.com/office/drawing/2014/main" id="{B2E23C61-1DA8-42AD-B25B-438E65CEC39B}"/>
            </a:ext>
          </a:extLst>
        </xdr:cNvPr>
        <xdr:cNvSpPr txBox="1"/>
      </xdr:nvSpPr>
      <xdr:spPr>
        <a:xfrm>
          <a:off x="12024360" y="822960"/>
          <a:ext cx="10820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AB0F0F01-B384-4031-9F2A-8B6CADDB0D65}"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oneCellAnchor>
    <xdr:from>
      <xdr:col>15</xdr:col>
      <xdr:colOff>228600</xdr:colOff>
      <xdr:row>8</xdr:row>
      <xdr:rowOff>68580</xdr:rowOff>
    </xdr:from>
    <xdr:ext cx="1120140" cy="248851"/>
    <xdr:sp macro="" textlink="Lan!F78">
      <xdr:nvSpPr>
        <xdr:cNvPr id="16" name="TextBox 15">
          <a:extLst>
            <a:ext uri="{FF2B5EF4-FFF2-40B4-BE49-F238E27FC236}">
              <a16:creationId xmlns:a16="http://schemas.microsoft.com/office/drawing/2014/main" id="{D71C2572-C771-4D0D-A0F8-680F983692FA}"/>
            </a:ext>
          </a:extLst>
        </xdr:cNvPr>
        <xdr:cNvSpPr txBox="1"/>
      </xdr:nvSpPr>
      <xdr:spPr>
        <a:xfrm>
          <a:off x="13190220" y="822960"/>
          <a:ext cx="11201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56B1419-2A37-4FA3-B766-18D9265AF25B}"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oneCellAnchor>
    <xdr:from>
      <xdr:col>12</xdr:col>
      <xdr:colOff>350520</xdr:colOff>
      <xdr:row>9</xdr:row>
      <xdr:rowOff>68580</xdr:rowOff>
    </xdr:from>
    <xdr:ext cx="1112520" cy="342786"/>
    <xdr:sp macro="" textlink="AuxR!C87">
      <xdr:nvSpPr>
        <xdr:cNvPr id="17" name="TextBox 16">
          <a:extLst>
            <a:ext uri="{FF2B5EF4-FFF2-40B4-BE49-F238E27FC236}">
              <a16:creationId xmlns:a16="http://schemas.microsoft.com/office/drawing/2014/main" id="{24B430E8-807F-4830-9970-70021FEBA7EC}"/>
            </a:ext>
          </a:extLst>
        </xdr:cNvPr>
        <xdr:cNvSpPr txBox="1"/>
      </xdr:nvSpPr>
      <xdr:spPr>
        <a:xfrm>
          <a:off x="10119360" y="2011680"/>
          <a:ext cx="111252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D0FFD921-4B59-4719-97B6-62F33399D411}" type="TxLink">
            <a:rPr lang="en-US" sz="1600" b="0" i="0" u="none" strike="noStrike">
              <a:solidFill>
                <a:schemeClr val="tx1">
                  <a:lumMod val="65000"/>
                  <a:lumOff val="35000"/>
                </a:schemeClr>
              </a:solidFill>
              <a:latin typeface="CALIBRI"/>
              <a:cs typeface="CALIBRI"/>
            </a:rPr>
            <a:pPr algn="ctr"/>
            <a:t>0.0%</a:t>
          </a:fld>
          <a:endParaRPr lang="fr-CA" sz="1600">
            <a:solidFill>
              <a:schemeClr val="tx1">
                <a:lumMod val="65000"/>
                <a:lumOff val="35000"/>
              </a:schemeClr>
            </a:solidFill>
          </a:endParaRPr>
        </a:p>
      </xdr:txBody>
    </xdr:sp>
    <xdr:clientData/>
  </xdr:oneCellAnchor>
  <xdr:oneCellAnchor>
    <xdr:from>
      <xdr:col>15</xdr:col>
      <xdr:colOff>60960</xdr:colOff>
      <xdr:row>9</xdr:row>
      <xdr:rowOff>60960</xdr:rowOff>
    </xdr:from>
    <xdr:ext cx="1135380" cy="342786"/>
    <xdr:sp macro="" textlink="AuxR!D87">
      <xdr:nvSpPr>
        <xdr:cNvPr id="18" name="TextBox 17">
          <a:extLst>
            <a:ext uri="{FF2B5EF4-FFF2-40B4-BE49-F238E27FC236}">
              <a16:creationId xmlns:a16="http://schemas.microsoft.com/office/drawing/2014/main" id="{D1507111-75D6-47C0-85AA-B81DD2FD7CCE}"/>
            </a:ext>
          </a:extLst>
        </xdr:cNvPr>
        <xdr:cNvSpPr txBox="1"/>
      </xdr:nvSpPr>
      <xdr:spPr>
        <a:xfrm>
          <a:off x="11209020" y="2004060"/>
          <a:ext cx="11353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68D3FD5-0B59-47CC-846F-E2345110F3F4}" type="TxLink">
            <a:rPr lang="en-US" sz="1600" b="0" i="0" u="none" strike="noStrike">
              <a:solidFill>
                <a:schemeClr val="tx1">
                  <a:lumMod val="65000"/>
                  <a:lumOff val="35000"/>
                </a:schemeClr>
              </a:solidFill>
              <a:latin typeface="CALIBRI"/>
              <a:cs typeface="CALIBRI"/>
            </a:rPr>
            <a:pPr algn="ctr"/>
            <a:t>130.0%</a:t>
          </a:fld>
          <a:endParaRPr lang="fr-CA" sz="1600">
            <a:solidFill>
              <a:schemeClr val="tx1">
                <a:lumMod val="65000"/>
                <a:lumOff val="35000"/>
              </a:schemeClr>
            </a:solidFill>
          </a:endParaRPr>
        </a:p>
      </xdr:txBody>
    </xdr:sp>
    <xdr:clientData/>
  </xdr:oneCellAnchor>
  <xdr:twoCellAnchor>
    <xdr:from>
      <xdr:col>4</xdr:col>
      <xdr:colOff>388620</xdr:colOff>
      <xdr:row>23</xdr:row>
      <xdr:rowOff>38100</xdr:rowOff>
    </xdr:from>
    <xdr:to>
      <xdr:col>7</xdr:col>
      <xdr:colOff>1280160</xdr:colOff>
      <xdr:row>25</xdr:row>
      <xdr:rowOff>220980</xdr:rowOff>
    </xdr:to>
    <xdr:sp macro="" textlink="">
      <xdr:nvSpPr>
        <xdr:cNvPr id="21" name="Rectangle 20">
          <a:extLst>
            <a:ext uri="{FF2B5EF4-FFF2-40B4-BE49-F238E27FC236}">
              <a16:creationId xmlns:a16="http://schemas.microsoft.com/office/drawing/2014/main" id="{FCBC2BFF-0A0B-4B44-AE3A-11EF0A9B0EB8}"/>
            </a:ext>
          </a:extLst>
        </xdr:cNvPr>
        <xdr:cNvSpPr/>
      </xdr:nvSpPr>
      <xdr:spPr>
        <a:xfrm>
          <a:off x="5638800" y="4617720"/>
          <a:ext cx="2270760" cy="685800"/>
        </a:xfrm>
        <a:prstGeom prst="rect">
          <a:avLst/>
        </a:prstGeom>
        <a:solidFill>
          <a:schemeClr val="bg1">
            <a:lumMod val="85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xdr:col>
      <xdr:colOff>160020</xdr:colOff>
      <xdr:row>23</xdr:row>
      <xdr:rowOff>146495</xdr:rowOff>
    </xdr:from>
    <xdr:to>
      <xdr:col>7</xdr:col>
      <xdr:colOff>160020</xdr:colOff>
      <xdr:row>25</xdr:row>
      <xdr:rowOff>150686</xdr:rowOff>
    </xdr:to>
    <xdr:cxnSp macro="">
      <xdr:nvCxnSpPr>
        <xdr:cNvPr id="22" name="Straight Connector 21">
          <a:extLst>
            <a:ext uri="{FF2B5EF4-FFF2-40B4-BE49-F238E27FC236}">
              <a16:creationId xmlns:a16="http://schemas.microsoft.com/office/drawing/2014/main" id="{7DC2C7FD-DDF7-4A6A-9FE2-53D7B6E3D536}"/>
            </a:ext>
          </a:extLst>
        </xdr:cNvPr>
        <xdr:cNvCxnSpPr/>
      </xdr:nvCxnSpPr>
      <xdr:spPr>
        <a:xfrm>
          <a:off x="6789420" y="4726115"/>
          <a:ext cx="0" cy="5071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434340</xdr:colOff>
      <xdr:row>23</xdr:row>
      <xdr:rowOff>53340</xdr:rowOff>
    </xdr:from>
    <xdr:ext cx="1082040" cy="248851"/>
    <xdr:sp macro="" textlink="Lan!F77">
      <xdr:nvSpPr>
        <xdr:cNvPr id="23" name="TextBox 22">
          <a:extLst>
            <a:ext uri="{FF2B5EF4-FFF2-40B4-BE49-F238E27FC236}">
              <a16:creationId xmlns:a16="http://schemas.microsoft.com/office/drawing/2014/main" id="{080747C7-3EF3-44E0-A36D-CBF115DA7FD9}"/>
            </a:ext>
          </a:extLst>
        </xdr:cNvPr>
        <xdr:cNvSpPr txBox="1"/>
      </xdr:nvSpPr>
      <xdr:spPr>
        <a:xfrm>
          <a:off x="5684520" y="4579620"/>
          <a:ext cx="10820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AB0F0F01-B384-4031-9F2A-8B6CADDB0D65}"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oneCellAnchor>
    <xdr:from>
      <xdr:col>7</xdr:col>
      <xdr:colOff>220980</xdr:colOff>
      <xdr:row>23</xdr:row>
      <xdr:rowOff>53340</xdr:rowOff>
    </xdr:from>
    <xdr:ext cx="1120140" cy="248851"/>
    <xdr:sp macro="" textlink="Lan!F78">
      <xdr:nvSpPr>
        <xdr:cNvPr id="24" name="TextBox 23">
          <a:extLst>
            <a:ext uri="{FF2B5EF4-FFF2-40B4-BE49-F238E27FC236}">
              <a16:creationId xmlns:a16="http://schemas.microsoft.com/office/drawing/2014/main" id="{F453EC46-7F49-4510-895C-7F40CB724FF0}"/>
            </a:ext>
          </a:extLst>
        </xdr:cNvPr>
        <xdr:cNvSpPr txBox="1"/>
      </xdr:nvSpPr>
      <xdr:spPr>
        <a:xfrm>
          <a:off x="6850380" y="4579620"/>
          <a:ext cx="11201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56B1419-2A37-4FA3-B766-18D9265AF25B}"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oneCellAnchor>
    <xdr:from>
      <xdr:col>4</xdr:col>
      <xdr:colOff>350520</xdr:colOff>
      <xdr:row>24</xdr:row>
      <xdr:rowOff>76200</xdr:rowOff>
    </xdr:from>
    <xdr:ext cx="1112520" cy="342786"/>
    <xdr:sp macro="" textlink="AuxR!C88">
      <xdr:nvSpPr>
        <xdr:cNvPr id="25" name="TextBox 24">
          <a:extLst>
            <a:ext uri="{FF2B5EF4-FFF2-40B4-BE49-F238E27FC236}">
              <a16:creationId xmlns:a16="http://schemas.microsoft.com/office/drawing/2014/main" id="{2A891C55-6EC9-4E2D-B96F-7B4A61710DEC}"/>
            </a:ext>
          </a:extLst>
        </xdr:cNvPr>
        <xdr:cNvSpPr txBox="1"/>
      </xdr:nvSpPr>
      <xdr:spPr>
        <a:xfrm>
          <a:off x="3870960" y="6797040"/>
          <a:ext cx="111252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C36A2DB6-80E1-4E59-9E10-6493DA31B1A5}" type="TxLink">
            <a:rPr lang="en-US" sz="1600" b="0" i="0" u="none" strike="noStrike">
              <a:solidFill>
                <a:schemeClr val="tx1">
                  <a:lumMod val="65000"/>
                  <a:lumOff val="35000"/>
                </a:schemeClr>
              </a:solidFill>
              <a:latin typeface="CALIBRI"/>
              <a:cs typeface="CALIBRI"/>
            </a:rPr>
            <a:pPr algn="ctr"/>
            <a:t>121.6%</a:t>
          </a:fld>
          <a:endParaRPr lang="fr-CA" sz="1600">
            <a:solidFill>
              <a:schemeClr val="tx1">
                <a:lumMod val="65000"/>
                <a:lumOff val="35000"/>
              </a:schemeClr>
            </a:solidFill>
          </a:endParaRPr>
        </a:p>
      </xdr:txBody>
    </xdr:sp>
    <xdr:clientData/>
  </xdr:oneCellAnchor>
  <xdr:oneCellAnchor>
    <xdr:from>
      <xdr:col>7</xdr:col>
      <xdr:colOff>160020</xdr:colOff>
      <xdr:row>24</xdr:row>
      <xdr:rowOff>68580</xdr:rowOff>
    </xdr:from>
    <xdr:ext cx="1135380" cy="342786"/>
    <xdr:sp macro="" textlink="AuxR!D88">
      <xdr:nvSpPr>
        <xdr:cNvPr id="26" name="TextBox 25">
          <a:extLst>
            <a:ext uri="{FF2B5EF4-FFF2-40B4-BE49-F238E27FC236}">
              <a16:creationId xmlns:a16="http://schemas.microsoft.com/office/drawing/2014/main" id="{962E92C2-523E-47AF-BE45-3EF282BE83CA}"/>
            </a:ext>
          </a:extLst>
        </xdr:cNvPr>
        <xdr:cNvSpPr txBox="1"/>
      </xdr:nvSpPr>
      <xdr:spPr>
        <a:xfrm>
          <a:off x="6789420" y="4899660"/>
          <a:ext cx="11353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E2AFDB47-92BF-483C-9CF1-6FD7CA09DEDB}" type="TxLink">
            <a:rPr lang="en-US" sz="1600" b="0" i="0" u="none" strike="noStrike">
              <a:solidFill>
                <a:schemeClr val="tx1">
                  <a:lumMod val="65000"/>
                  <a:lumOff val="35000"/>
                </a:schemeClr>
              </a:solidFill>
              <a:latin typeface="CALIBRI"/>
              <a:cs typeface="CALIBRI"/>
            </a:rPr>
            <a:pPr algn="ctr"/>
            <a:t>0.0%</a:t>
          </a:fld>
          <a:endParaRPr lang="fr-CA" sz="1600">
            <a:solidFill>
              <a:schemeClr val="tx1">
                <a:lumMod val="65000"/>
                <a:lumOff val="35000"/>
              </a:schemeClr>
            </a:solidFill>
          </a:endParaRPr>
        </a:p>
      </xdr:txBody>
    </xdr:sp>
    <xdr:clientData/>
  </xdr:oneCellAnchor>
  <xdr:twoCellAnchor>
    <xdr:from>
      <xdr:col>12</xdr:col>
      <xdr:colOff>396240</xdr:colOff>
      <xdr:row>23</xdr:row>
      <xdr:rowOff>38100</xdr:rowOff>
    </xdr:from>
    <xdr:to>
      <xdr:col>16</xdr:col>
      <xdr:colOff>0</xdr:colOff>
      <xdr:row>25</xdr:row>
      <xdr:rowOff>220980</xdr:rowOff>
    </xdr:to>
    <xdr:sp macro="" textlink="">
      <xdr:nvSpPr>
        <xdr:cNvPr id="27" name="Rectangle 26">
          <a:extLst>
            <a:ext uri="{FF2B5EF4-FFF2-40B4-BE49-F238E27FC236}">
              <a16:creationId xmlns:a16="http://schemas.microsoft.com/office/drawing/2014/main" id="{2243F2B6-AF7A-4D24-ABA5-EE822EBA9C9B}"/>
            </a:ext>
          </a:extLst>
        </xdr:cNvPr>
        <xdr:cNvSpPr/>
      </xdr:nvSpPr>
      <xdr:spPr>
        <a:xfrm>
          <a:off x="11978640" y="4617720"/>
          <a:ext cx="2270760" cy="685800"/>
        </a:xfrm>
        <a:prstGeom prst="rect">
          <a:avLst/>
        </a:prstGeom>
        <a:solidFill>
          <a:schemeClr val="bg1">
            <a:lumMod val="85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15</xdr:col>
      <xdr:colOff>167640</xdr:colOff>
      <xdr:row>23</xdr:row>
      <xdr:rowOff>146495</xdr:rowOff>
    </xdr:from>
    <xdr:to>
      <xdr:col>15</xdr:col>
      <xdr:colOff>167640</xdr:colOff>
      <xdr:row>25</xdr:row>
      <xdr:rowOff>150686</xdr:rowOff>
    </xdr:to>
    <xdr:cxnSp macro="">
      <xdr:nvCxnSpPr>
        <xdr:cNvPr id="28" name="Straight Connector 27">
          <a:extLst>
            <a:ext uri="{FF2B5EF4-FFF2-40B4-BE49-F238E27FC236}">
              <a16:creationId xmlns:a16="http://schemas.microsoft.com/office/drawing/2014/main" id="{D9160BE8-924E-4439-B405-3C6B58BE2558}"/>
            </a:ext>
          </a:extLst>
        </xdr:cNvPr>
        <xdr:cNvCxnSpPr/>
      </xdr:nvCxnSpPr>
      <xdr:spPr>
        <a:xfrm>
          <a:off x="13129260" y="4726115"/>
          <a:ext cx="0" cy="5071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441960</xdr:colOff>
      <xdr:row>23</xdr:row>
      <xdr:rowOff>68580</xdr:rowOff>
    </xdr:from>
    <xdr:ext cx="1082040" cy="248851"/>
    <xdr:sp macro="" textlink="Lan!F77">
      <xdr:nvSpPr>
        <xdr:cNvPr id="29" name="TextBox 28">
          <a:extLst>
            <a:ext uri="{FF2B5EF4-FFF2-40B4-BE49-F238E27FC236}">
              <a16:creationId xmlns:a16="http://schemas.microsoft.com/office/drawing/2014/main" id="{8DF9DFD4-1467-4504-939E-45A6373BDF1D}"/>
            </a:ext>
          </a:extLst>
        </xdr:cNvPr>
        <xdr:cNvSpPr txBox="1"/>
      </xdr:nvSpPr>
      <xdr:spPr>
        <a:xfrm>
          <a:off x="12024360" y="4648200"/>
          <a:ext cx="10820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AB0F0F01-B384-4031-9F2A-8B6CADDB0D65}"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oneCellAnchor>
    <xdr:from>
      <xdr:col>15</xdr:col>
      <xdr:colOff>228600</xdr:colOff>
      <xdr:row>23</xdr:row>
      <xdr:rowOff>68580</xdr:rowOff>
    </xdr:from>
    <xdr:ext cx="1120140" cy="248851"/>
    <xdr:sp macro="" textlink="Lan!F78">
      <xdr:nvSpPr>
        <xdr:cNvPr id="30" name="TextBox 29">
          <a:extLst>
            <a:ext uri="{FF2B5EF4-FFF2-40B4-BE49-F238E27FC236}">
              <a16:creationId xmlns:a16="http://schemas.microsoft.com/office/drawing/2014/main" id="{2F409B1B-833D-482F-A189-7EAB6CC314A9}"/>
            </a:ext>
          </a:extLst>
        </xdr:cNvPr>
        <xdr:cNvSpPr txBox="1"/>
      </xdr:nvSpPr>
      <xdr:spPr>
        <a:xfrm>
          <a:off x="13190220" y="4648200"/>
          <a:ext cx="11201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56B1419-2A37-4FA3-B766-18D9265AF25B}"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oneCellAnchor>
    <xdr:from>
      <xdr:col>12</xdr:col>
      <xdr:colOff>312420</xdr:colOff>
      <xdr:row>24</xdr:row>
      <xdr:rowOff>83820</xdr:rowOff>
    </xdr:from>
    <xdr:ext cx="1112520" cy="342786"/>
    <xdr:sp macro="" textlink="AuxR!C89">
      <xdr:nvSpPr>
        <xdr:cNvPr id="31" name="TextBox 30">
          <a:extLst>
            <a:ext uri="{FF2B5EF4-FFF2-40B4-BE49-F238E27FC236}">
              <a16:creationId xmlns:a16="http://schemas.microsoft.com/office/drawing/2014/main" id="{2AE5AB0B-09DF-413E-ACBD-BB2C03E7DEBA}"/>
            </a:ext>
          </a:extLst>
        </xdr:cNvPr>
        <xdr:cNvSpPr txBox="1"/>
      </xdr:nvSpPr>
      <xdr:spPr>
        <a:xfrm>
          <a:off x="10081260" y="6804660"/>
          <a:ext cx="111252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761EA6DF-916C-4E49-AE45-3ADDC5CC52F2}" type="TxLink">
            <a:rPr lang="en-US" sz="1600" b="0" i="0" u="none" strike="noStrike">
              <a:solidFill>
                <a:schemeClr val="tx1">
                  <a:lumMod val="65000"/>
                  <a:lumOff val="35000"/>
                </a:schemeClr>
              </a:solidFill>
              <a:latin typeface="CALIBRI"/>
              <a:cs typeface="CALIBRI"/>
            </a:rPr>
            <a:pPr algn="ctr"/>
            <a:t>91.7%</a:t>
          </a:fld>
          <a:endParaRPr lang="fr-CA" sz="1600">
            <a:solidFill>
              <a:schemeClr val="tx1">
                <a:lumMod val="65000"/>
                <a:lumOff val="35000"/>
              </a:schemeClr>
            </a:solidFill>
          </a:endParaRPr>
        </a:p>
      </xdr:txBody>
    </xdr:sp>
    <xdr:clientData/>
  </xdr:oneCellAnchor>
  <xdr:oneCellAnchor>
    <xdr:from>
      <xdr:col>15</xdr:col>
      <xdr:colOff>68580</xdr:colOff>
      <xdr:row>24</xdr:row>
      <xdr:rowOff>60960</xdr:rowOff>
    </xdr:from>
    <xdr:ext cx="1135380" cy="342786"/>
    <xdr:sp macro="" textlink="AuxR!D89">
      <xdr:nvSpPr>
        <xdr:cNvPr id="32" name="TextBox 31">
          <a:extLst>
            <a:ext uri="{FF2B5EF4-FFF2-40B4-BE49-F238E27FC236}">
              <a16:creationId xmlns:a16="http://schemas.microsoft.com/office/drawing/2014/main" id="{07ED16A4-4556-410B-9F25-B4E43E349628}"/>
            </a:ext>
          </a:extLst>
        </xdr:cNvPr>
        <xdr:cNvSpPr txBox="1"/>
      </xdr:nvSpPr>
      <xdr:spPr>
        <a:xfrm>
          <a:off x="11216640" y="6781800"/>
          <a:ext cx="11353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6C64EBCE-0296-41A1-A96E-8449CB7E55A0}" type="TxLink">
            <a:rPr lang="en-US" sz="1600" b="0" i="0" u="none" strike="noStrike">
              <a:solidFill>
                <a:schemeClr val="tx1">
                  <a:lumMod val="65000"/>
                  <a:lumOff val="35000"/>
                </a:schemeClr>
              </a:solidFill>
              <a:latin typeface="CALIBRI"/>
              <a:cs typeface="CALIBRI"/>
            </a:rPr>
            <a:pPr algn="ctr"/>
            <a:t>125.0%</a:t>
          </a:fld>
          <a:endParaRPr lang="fr-CA" sz="1600">
            <a:solidFill>
              <a:schemeClr val="tx1">
                <a:lumMod val="65000"/>
                <a:lumOff val="35000"/>
              </a:schemeClr>
            </a:solidFill>
          </a:endParaRPr>
        </a:p>
      </xdr:txBody>
    </xdr:sp>
    <xdr:clientData/>
  </xdr:oneCellAnchor>
  <xdr:twoCellAnchor>
    <xdr:from>
      <xdr:col>4</xdr:col>
      <xdr:colOff>388620</xdr:colOff>
      <xdr:row>39</xdr:row>
      <xdr:rowOff>38100</xdr:rowOff>
    </xdr:from>
    <xdr:to>
      <xdr:col>8</xdr:col>
      <xdr:colOff>3810</xdr:colOff>
      <xdr:row>41</xdr:row>
      <xdr:rowOff>220980</xdr:rowOff>
    </xdr:to>
    <xdr:sp macro="" textlink="">
      <xdr:nvSpPr>
        <xdr:cNvPr id="34" name="Rectangle 33">
          <a:extLst>
            <a:ext uri="{FF2B5EF4-FFF2-40B4-BE49-F238E27FC236}">
              <a16:creationId xmlns:a16="http://schemas.microsoft.com/office/drawing/2014/main" id="{6A04E072-8922-41F8-B097-2D81758903E3}"/>
            </a:ext>
          </a:extLst>
        </xdr:cNvPr>
        <xdr:cNvSpPr/>
      </xdr:nvSpPr>
      <xdr:spPr>
        <a:xfrm>
          <a:off x="3798570" y="11763375"/>
          <a:ext cx="2196465" cy="678180"/>
        </a:xfrm>
        <a:prstGeom prst="rect">
          <a:avLst/>
        </a:prstGeom>
        <a:solidFill>
          <a:schemeClr val="bg1">
            <a:lumMod val="85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xdr:col>
      <xdr:colOff>152400</xdr:colOff>
      <xdr:row>39</xdr:row>
      <xdr:rowOff>146495</xdr:rowOff>
    </xdr:from>
    <xdr:to>
      <xdr:col>7</xdr:col>
      <xdr:colOff>152400</xdr:colOff>
      <xdr:row>41</xdr:row>
      <xdr:rowOff>150686</xdr:rowOff>
    </xdr:to>
    <xdr:cxnSp macro="">
      <xdr:nvCxnSpPr>
        <xdr:cNvPr id="35" name="Straight Connector 34">
          <a:extLst>
            <a:ext uri="{FF2B5EF4-FFF2-40B4-BE49-F238E27FC236}">
              <a16:creationId xmlns:a16="http://schemas.microsoft.com/office/drawing/2014/main" id="{0737EAAF-5F59-4A7D-A876-3490DF65778B}"/>
            </a:ext>
          </a:extLst>
        </xdr:cNvPr>
        <xdr:cNvCxnSpPr/>
      </xdr:nvCxnSpPr>
      <xdr:spPr>
        <a:xfrm>
          <a:off x="6781800" y="8802815"/>
          <a:ext cx="0" cy="5071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434340</xdr:colOff>
      <xdr:row>39</xdr:row>
      <xdr:rowOff>53340</xdr:rowOff>
    </xdr:from>
    <xdr:ext cx="1082040" cy="248851"/>
    <xdr:sp macro="" textlink="Lan!F77">
      <xdr:nvSpPr>
        <xdr:cNvPr id="36" name="TextBox 35">
          <a:extLst>
            <a:ext uri="{FF2B5EF4-FFF2-40B4-BE49-F238E27FC236}">
              <a16:creationId xmlns:a16="http://schemas.microsoft.com/office/drawing/2014/main" id="{6E56451E-0BD5-4007-801B-D969835CF5B8}"/>
            </a:ext>
          </a:extLst>
        </xdr:cNvPr>
        <xdr:cNvSpPr txBox="1"/>
      </xdr:nvSpPr>
      <xdr:spPr>
        <a:xfrm>
          <a:off x="5684520" y="8709660"/>
          <a:ext cx="10820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AB0F0F01-B384-4031-9F2A-8B6CADDB0D65}"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oneCellAnchor>
    <xdr:from>
      <xdr:col>7</xdr:col>
      <xdr:colOff>220980</xdr:colOff>
      <xdr:row>39</xdr:row>
      <xdr:rowOff>53340</xdr:rowOff>
    </xdr:from>
    <xdr:ext cx="1120140" cy="248851"/>
    <xdr:sp macro="" textlink="Lan!F78">
      <xdr:nvSpPr>
        <xdr:cNvPr id="37" name="TextBox 36">
          <a:extLst>
            <a:ext uri="{FF2B5EF4-FFF2-40B4-BE49-F238E27FC236}">
              <a16:creationId xmlns:a16="http://schemas.microsoft.com/office/drawing/2014/main" id="{3192376D-7660-490D-9391-10B97719103F}"/>
            </a:ext>
          </a:extLst>
        </xdr:cNvPr>
        <xdr:cNvSpPr txBox="1"/>
      </xdr:nvSpPr>
      <xdr:spPr>
        <a:xfrm>
          <a:off x="6850380" y="8709660"/>
          <a:ext cx="11201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56B1419-2A37-4FA3-B766-18D9265AF25B}"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oneCellAnchor>
    <xdr:from>
      <xdr:col>4</xdr:col>
      <xdr:colOff>358140</xdr:colOff>
      <xdr:row>40</xdr:row>
      <xdr:rowOff>68580</xdr:rowOff>
    </xdr:from>
    <xdr:ext cx="1112520" cy="342786"/>
    <xdr:sp macro="" textlink="AuxR!C90">
      <xdr:nvSpPr>
        <xdr:cNvPr id="38" name="TextBox 37">
          <a:extLst>
            <a:ext uri="{FF2B5EF4-FFF2-40B4-BE49-F238E27FC236}">
              <a16:creationId xmlns:a16="http://schemas.microsoft.com/office/drawing/2014/main" id="{3068A3E5-F2A4-46EF-9304-3F7AF05ADCFD}"/>
            </a:ext>
          </a:extLst>
        </xdr:cNvPr>
        <xdr:cNvSpPr txBox="1"/>
      </xdr:nvSpPr>
      <xdr:spPr>
        <a:xfrm>
          <a:off x="3878580" y="11506200"/>
          <a:ext cx="111252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DD59F406-C0B6-4A47-90B8-FCE6C4FBE39A}" type="TxLink">
            <a:rPr lang="en-US" sz="1600" b="0" i="0" u="none" strike="noStrike">
              <a:solidFill>
                <a:schemeClr val="tx1">
                  <a:lumMod val="65000"/>
                  <a:lumOff val="35000"/>
                </a:schemeClr>
              </a:solidFill>
              <a:latin typeface="CALIBRI"/>
              <a:cs typeface="CALIBRI"/>
            </a:rPr>
            <a:pPr algn="ctr"/>
            <a:t>83.8%</a:t>
          </a:fld>
          <a:endParaRPr lang="fr-CA" sz="1600">
            <a:solidFill>
              <a:schemeClr val="tx1">
                <a:lumMod val="65000"/>
                <a:lumOff val="35000"/>
              </a:schemeClr>
            </a:solidFill>
          </a:endParaRPr>
        </a:p>
      </xdr:txBody>
    </xdr:sp>
    <xdr:clientData/>
  </xdr:oneCellAnchor>
  <xdr:oneCellAnchor>
    <xdr:from>
      <xdr:col>7</xdr:col>
      <xdr:colOff>99060</xdr:colOff>
      <xdr:row>40</xdr:row>
      <xdr:rowOff>68580</xdr:rowOff>
    </xdr:from>
    <xdr:ext cx="1135380" cy="342786"/>
    <xdr:sp macro="" textlink="AuxR!D90">
      <xdr:nvSpPr>
        <xdr:cNvPr id="39" name="TextBox 38">
          <a:extLst>
            <a:ext uri="{FF2B5EF4-FFF2-40B4-BE49-F238E27FC236}">
              <a16:creationId xmlns:a16="http://schemas.microsoft.com/office/drawing/2014/main" id="{D8A1B808-3D47-4EC3-B356-CA24B2FD4C28}"/>
            </a:ext>
          </a:extLst>
        </xdr:cNvPr>
        <xdr:cNvSpPr txBox="1"/>
      </xdr:nvSpPr>
      <xdr:spPr>
        <a:xfrm>
          <a:off x="4998720" y="11506200"/>
          <a:ext cx="11353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46CB5DB-E3D1-4EF7-8074-0017519B2485}" type="TxLink">
            <a:rPr lang="en-US" sz="1600" b="0" i="0" u="none" strike="noStrike">
              <a:solidFill>
                <a:schemeClr val="tx1">
                  <a:lumMod val="65000"/>
                  <a:lumOff val="35000"/>
                </a:schemeClr>
              </a:solidFill>
              <a:latin typeface="CALIBRI"/>
              <a:cs typeface="CALIBRI"/>
            </a:rPr>
            <a:pPr algn="ctr"/>
            <a:t>0.0%</a:t>
          </a:fld>
          <a:endParaRPr lang="fr-CA" sz="1600">
            <a:solidFill>
              <a:schemeClr val="tx1">
                <a:lumMod val="65000"/>
                <a:lumOff val="35000"/>
              </a:schemeClr>
            </a:solidFill>
          </a:endParaRPr>
        </a:p>
      </xdr:txBody>
    </xdr:sp>
    <xdr:clientData/>
  </xdr:oneCellAnchor>
  <xdr:twoCellAnchor>
    <xdr:from>
      <xdr:col>12</xdr:col>
      <xdr:colOff>396240</xdr:colOff>
      <xdr:row>39</xdr:row>
      <xdr:rowOff>38100</xdr:rowOff>
    </xdr:from>
    <xdr:to>
      <xdr:col>16</xdr:col>
      <xdr:colOff>0</xdr:colOff>
      <xdr:row>41</xdr:row>
      <xdr:rowOff>220980</xdr:rowOff>
    </xdr:to>
    <xdr:sp macro="" textlink="">
      <xdr:nvSpPr>
        <xdr:cNvPr id="40" name="Rectangle 39">
          <a:extLst>
            <a:ext uri="{FF2B5EF4-FFF2-40B4-BE49-F238E27FC236}">
              <a16:creationId xmlns:a16="http://schemas.microsoft.com/office/drawing/2014/main" id="{9507D966-6C8F-4795-87CE-EF049B44018A}"/>
            </a:ext>
          </a:extLst>
        </xdr:cNvPr>
        <xdr:cNvSpPr/>
      </xdr:nvSpPr>
      <xdr:spPr>
        <a:xfrm>
          <a:off x="11978640" y="8694420"/>
          <a:ext cx="2270760" cy="685800"/>
        </a:xfrm>
        <a:prstGeom prst="rect">
          <a:avLst/>
        </a:prstGeom>
        <a:solidFill>
          <a:schemeClr val="bg1">
            <a:lumMod val="85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15</xdr:col>
      <xdr:colOff>160020</xdr:colOff>
      <xdr:row>39</xdr:row>
      <xdr:rowOff>146495</xdr:rowOff>
    </xdr:from>
    <xdr:to>
      <xdr:col>15</xdr:col>
      <xdr:colOff>160020</xdr:colOff>
      <xdr:row>41</xdr:row>
      <xdr:rowOff>150686</xdr:rowOff>
    </xdr:to>
    <xdr:cxnSp macro="">
      <xdr:nvCxnSpPr>
        <xdr:cNvPr id="41" name="Straight Connector 40">
          <a:extLst>
            <a:ext uri="{FF2B5EF4-FFF2-40B4-BE49-F238E27FC236}">
              <a16:creationId xmlns:a16="http://schemas.microsoft.com/office/drawing/2014/main" id="{8D809CEA-175B-4C27-84E6-12500A8C6FA0}"/>
            </a:ext>
          </a:extLst>
        </xdr:cNvPr>
        <xdr:cNvCxnSpPr/>
      </xdr:nvCxnSpPr>
      <xdr:spPr>
        <a:xfrm>
          <a:off x="13121640" y="8802815"/>
          <a:ext cx="0" cy="5071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441960</xdr:colOff>
      <xdr:row>39</xdr:row>
      <xdr:rowOff>53340</xdr:rowOff>
    </xdr:from>
    <xdr:ext cx="1082040" cy="248851"/>
    <xdr:sp macro="" textlink="Lan!F77">
      <xdr:nvSpPr>
        <xdr:cNvPr id="42" name="TextBox 41">
          <a:extLst>
            <a:ext uri="{FF2B5EF4-FFF2-40B4-BE49-F238E27FC236}">
              <a16:creationId xmlns:a16="http://schemas.microsoft.com/office/drawing/2014/main" id="{90C2929E-16BB-4500-85C7-456E822FB06F}"/>
            </a:ext>
          </a:extLst>
        </xdr:cNvPr>
        <xdr:cNvSpPr txBox="1"/>
      </xdr:nvSpPr>
      <xdr:spPr>
        <a:xfrm>
          <a:off x="12024360" y="8709660"/>
          <a:ext cx="10820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AB0F0F01-B384-4031-9F2A-8B6CADDB0D65}"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oneCellAnchor>
    <xdr:from>
      <xdr:col>15</xdr:col>
      <xdr:colOff>228600</xdr:colOff>
      <xdr:row>39</xdr:row>
      <xdr:rowOff>53340</xdr:rowOff>
    </xdr:from>
    <xdr:ext cx="1120140" cy="248851"/>
    <xdr:sp macro="" textlink="Lan!F78">
      <xdr:nvSpPr>
        <xdr:cNvPr id="43" name="TextBox 42">
          <a:extLst>
            <a:ext uri="{FF2B5EF4-FFF2-40B4-BE49-F238E27FC236}">
              <a16:creationId xmlns:a16="http://schemas.microsoft.com/office/drawing/2014/main" id="{E8BB9399-9AFD-4224-A59E-8EDEF3A7452C}"/>
            </a:ext>
          </a:extLst>
        </xdr:cNvPr>
        <xdr:cNvSpPr txBox="1"/>
      </xdr:nvSpPr>
      <xdr:spPr>
        <a:xfrm>
          <a:off x="13190220" y="8709660"/>
          <a:ext cx="112014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56B1419-2A37-4FA3-B766-18D9265AF25B}" type="TxLink">
            <a:rPr lang="en-US" sz="1000" b="0" i="0" u="none" strike="noStrike">
              <a:solidFill>
                <a:schemeClr val="tx1">
                  <a:lumMod val="65000"/>
                  <a:lumOff val="35000"/>
                </a:schemeClr>
              </a:solidFill>
              <a:latin typeface="CALIBRI"/>
              <a:cs typeface="CALIBRI"/>
            </a:rPr>
            <a:pPr algn="ctr"/>
            <a:t>Promedio ↓</a:t>
          </a:fld>
          <a:endParaRPr lang="fr-CA" sz="1100">
            <a:solidFill>
              <a:schemeClr val="tx1">
                <a:lumMod val="65000"/>
                <a:lumOff val="35000"/>
              </a:schemeClr>
            </a:solidFill>
          </a:endParaRPr>
        </a:p>
      </xdr:txBody>
    </xdr:sp>
    <xdr:clientData/>
  </xdr:oneCellAnchor>
  <xdr:oneCellAnchor>
    <xdr:from>
      <xdr:col>12</xdr:col>
      <xdr:colOff>342900</xdr:colOff>
      <xdr:row>40</xdr:row>
      <xdr:rowOff>68580</xdr:rowOff>
    </xdr:from>
    <xdr:ext cx="1112520" cy="342786"/>
    <xdr:sp macro="" textlink="AuxR!C91">
      <xdr:nvSpPr>
        <xdr:cNvPr id="44" name="TextBox 43">
          <a:extLst>
            <a:ext uri="{FF2B5EF4-FFF2-40B4-BE49-F238E27FC236}">
              <a16:creationId xmlns:a16="http://schemas.microsoft.com/office/drawing/2014/main" id="{8BEFF9E0-67B1-4392-BD60-97D57C38239F}"/>
            </a:ext>
          </a:extLst>
        </xdr:cNvPr>
        <xdr:cNvSpPr txBox="1"/>
      </xdr:nvSpPr>
      <xdr:spPr>
        <a:xfrm>
          <a:off x="10111740" y="11506200"/>
          <a:ext cx="111252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4863F3DD-C0FA-4F16-9765-FA18F230601F}" type="TxLink">
            <a:rPr lang="en-US" sz="1600" b="0" i="0" u="none" strike="noStrike">
              <a:solidFill>
                <a:schemeClr val="tx1">
                  <a:lumMod val="65000"/>
                  <a:lumOff val="35000"/>
                </a:schemeClr>
              </a:solidFill>
              <a:latin typeface="CALIBRI"/>
              <a:cs typeface="CALIBRI"/>
            </a:rPr>
            <a:pPr algn="ctr"/>
            <a:t>96.9%</a:t>
          </a:fld>
          <a:endParaRPr lang="fr-CA" sz="1600">
            <a:solidFill>
              <a:schemeClr val="tx1">
                <a:lumMod val="65000"/>
                <a:lumOff val="35000"/>
              </a:schemeClr>
            </a:solidFill>
          </a:endParaRPr>
        </a:p>
      </xdr:txBody>
    </xdr:sp>
    <xdr:clientData/>
  </xdr:oneCellAnchor>
  <xdr:oneCellAnchor>
    <xdr:from>
      <xdr:col>15</xdr:col>
      <xdr:colOff>99060</xdr:colOff>
      <xdr:row>40</xdr:row>
      <xdr:rowOff>68580</xdr:rowOff>
    </xdr:from>
    <xdr:ext cx="1135380" cy="342786"/>
    <xdr:sp macro="" textlink="AuxR!D91">
      <xdr:nvSpPr>
        <xdr:cNvPr id="45" name="TextBox 44">
          <a:extLst>
            <a:ext uri="{FF2B5EF4-FFF2-40B4-BE49-F238E27FC236}">
              <a16:creationId xmlns:a16="http://schemas.microsoft.com/office/drawing/2014/main" id="{7D49646F-5396-4150-A3D5-3EDB25DBCE9B}"/>
            </a:ext>
          </a:extLst>
        </xdr:cNvPr>
        <xdr:cNvSpPr txBox="1"/>
      </xdr:nvSpPr>
      <xdr:spPr>
        <a:xfrm>
          <a:off x="11247120" y="11506200"/>
          <a:ext cx="11353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EB7AC54C-E44C-40BB-B213-BD2C5E0A1B99}" type="TxLink">
            <a:rPr lang="en-US" sz="1600" b="0" i="0" u="none" strike="noStrike">
              <a:solidFill>
                <a:schemeClr val="tx1">
                  <a:lumMod val="65000"/>
                  <a:lumOff val="35000"/>
                </a:schemeClr>
              </a:solidFill>
              <a:latin typeface="CALIBRI"/>
              <a:cs typeface="CALIBRI"/>
            </a:rPr>
            <a:pPr algn="ctr"/>
            <a:t>0.0%</a:t>
          </a:fld>
          <a:endParaRPr lang="fr-CA" sz="1600">
            <a:solidFill>
              <a:schemeClr val="tx1">
                <a:lumMod val="65000"/>
                <a:lumOff val="35000"/>
              </a:schemeClr>
            </a:solidFill>
          </a:endParaRPr>
        </a:p>
      </xdr:txBody>
    </xdr:sp>
    <xdr:clientData/>
  </xdr:oneCellAnchor>
  <mc:AlternateContent xmlns:mc="http://schemas.openxmlformats.org/markup-compatibility/2006">
    <mc:Choice xmlns:a14="http://schemas.microsoft.com/office/drawing/2010/main" Requires="a14">
      <xdr:twoCellAnchor editAs="oneCell">
        <xdr:from>
          <xdr:col>13</xdr:col>
          <xdr:colOff>160020</xdr:colOff>
          <xdr:row>9</xdr:row>
          <xdr:rowOff>22860</xdr:rowOff>
        </xdr:from>
        <xdr:to>
          <xdr:col>15</xdr:col>
          <xdr:colOff>586740</xdr:colOff>
          <xdr:row>10</xdr:row>
          <xdr:rowOff>175260</xdr:rowOff>
        </xdr:to>
        <xdr:pic>
          <xdr:nvPicPr>
            <xdr:cNvPr id="46" name="Picture 45">
              <a:extLst>
                <a:ext uri="{FF2B5EF4-FFF2-40B4-BE49-F238E27FC236}">
                  <a16:creationId xmlns:a16="http://schemas.microsoft.com/office/drawing/2014/main" id="{1C15A9A8-2F8D-436D-B3CA-C7A7258DF230}"/>
                </a:ext>
              </a:extLst>
            </xdr:cNvPr>
            <xdr:cNvPicPr>
              <a:picLocks noChangeAspect="1" noChangeArrowheads="1"/>
              <a:extLst>
                <a:ext uri="{84589F7E-364E-4C9E-8A38-B11213B215E9}">
                  <a14:cameraTool cellRange="AuxR!$E$87" spid="_x0000_s375063"/>
                </a:ext>
              </a:extLst>
            </xdr:cNvPicPr>
          </xdr:nvPicPr>
          <xdr:blipFill>
            <a:blip xmlns:r="http://schemas.openxmlformats.org/officeDocument/2006/relationships" r:embed="rId3"/>
            <a:srcRect/>
            <a:stretch>
              <a:fillRect/>
            </a:stretch>
          </xdr:blipFill>
          <xdr:spPr bwMode="auto">
            <a:xfrm>
              <a:off x="10477500" y="1965960"/>
              <a:ext cx="1257300" cy="4038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579120</xdr:colOff>
          <xdr:row>9</xdr:row>
          <xdr:rowOff>15240</xdr:rowOff>
        </xdr:from>
        <xdr:to>
          <xdr:col>18</xdr:col>
          <xdr:colOff>48260</xdr:colOff>
          <xdr:row>10</xdr:row>
          <xdr:rowOff>167640</xdr:rowOff>
        </xdr:to>
        <xdr:pic>
          <xdr:nvPicPr>
            <xdr:cNvPr id="47" name="Picture 46">
              <a:extLst>
                <a:ext uri="{FF2B5EF4-FFF2-40B4-BE49-F238E27FC236}">
                  <a16:creationId xmlns:a16="http://schemas.microsoft.com/office/drawing/2014/main" id="{E5554A5D-A162-40F5-AB93-1CFBA9ADB6DD}"/>
                </a:ext>
              </a:extLst>
            </xdr:cNvPr>
            <xdr:cNvPicPr>
              <a:picLocks noChangeAspect="1" noChangeArrowheads="1"/>
              <a:extLst>
                <a:ext uri="{84589F7E-364E-4C9E-8A38-B11213B215E9}">
                  <a14:cameraTool cellRange="AuxR!$F$87" spid="_x0000_s375064"/>
                </a:ext>
              </a:extLst>
            </xdr:cNvPicPr>
          </xdr:nvPicPr>
          <xdr:blipFill>
            <a:blip xmlns:r="http://schemas.openxmlformats.org/officeDocument/2006/relationships" r:embed="rId4"/>
            <a:srcRect/>
            <a:stretch>
              <a:fillRect/>
            </a:stretch>
          </xdr:blipFill>
          <xdr:spPr bwMode="auto">
            <a:xfrm>
              <a:off x="11727180" y="1958340"/>
              <a:ext cx="993140" cy="4038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24</xdr:row>
          <xdr:rowOff>22860</xdr:rowOff>
        </xdr:from>
        <xdr:to>
          <xdr:col>7</xdr:col>
          <xdr:colOff>617220</xdr:colOff>
          <xdr:row>25</xdr:row>
          <xdr:rowOff>175260</xdr:rowOff>
        </xdr:to>
        <xdr:pic>
          <xdr:nvPicPr>
            <xdr:cNvPr id="48" name="Picture 47">
              <a:extLst>
                <a:ext uri="{FF2B5EF4-FFF2-40B4-BE49-F238E27FC236}">
                  <a16:creationId xmlns:a16="http://schemas.microsoft.com/office/drawing/2014/main" id="{DE1C7FA5-CE7D-49D2-9EFA-7A9F85798E9B}"/>
                </a:ext>
              </a:extLst>
            </xdr:cNvPr>
            <xdr:cNvPicPr>
              <a:picLocks noChangeAspect="1" noChangeArrowheads="1"/>
              <a:extLst>
                <a:ext uri="{84589F7E-364E-4C9E-8A38-B11213B215E9}">
                  <a14:cameraTool cellRange="AuxR!$E$88" spid="_x0000_s375065"/>
                </a:ext>
              </a:extLst>
            </xdr:cNvPicPr>
          </xdr:nvPicPr>
          <xdr:blipFill>
            <a:blip xmlns:r="http://schemas.openxmlformats.org/officeDocument/2006/relationships" r:embed="rId5"/>
            <a:srcRect/>
            <a:stretch>
              <a:fillRect/>
            </a:stretch>
          </xdr:blipFill>
          <xdr:spPr bwMode="auto">
            <a:xfrm>
              <a:off x="5989320" y="4853940"/>
              <a:ext cx="1257300" cy="4038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594360</xdr:colOff>
          <xdr:row>24</xdr:row>
          <xdr:rowOff>15240</xdr:rowOff>
        </xdr:from>
        <xdr:to>
          <xdr:col>9</xdr:col>
          <xdr:colOff>53340</xdr:colOff>
          <xdr:row>25</xdr:row>
          <xdr:rowOff>167640</xdr:rowOff>
        </xdr:to>
        <xdr:pic>
          <xdr:nvPicPr>
            <xdr:cNvPr id="49" name="Picture 48">
              <a:extLst>
                <a:ext uri="{FF2B5EF4-FFF2-40B4-BE49-F238E27FC236}">
                  <a16:creationId xmlns:a16="http://schemas.microsoft.com/office/drawing/2014/main" id="{77C5C580-663B-4F99-8919-F12D8EF243A4}"/>
                </a:ext>
              </a:extLst>
            </xdr:cNvPr>
            <xdr:cNvPicPr>
              <a:picLocks noChangeAspect="1" noChangeArrowheads="1"/>
              <a:extLst>
                <a:ext uri="{84589F7E-364E-4C9E-8A38-B11213B215E9}">
                  <a14:cameraTool cellRange="AuxR!$F$88" spid="_x0000_s375066"/>
                </a:ext>
              </a:extLst>
            </xdr:cNvPicPr>
          </xdr:nvPicPr>
          <xdr:blipFill>
            <a:blip xmlns:r="http://schemas.openxmlformats.org/officeDocument/2006/relationships" r:embed="rId6"/>
            <a:srcRect/>
            <a:stretch>
              <a:fillRect/>
            </a:stretch>
          </xdr:blipFill>
          <xdr:spPr bwMode="auto">
            <a:xfrm>
              <a:off x="7223760" y="4846320"/>
              <a:ext cx="998220" cy="4038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24</xdr:row>
          <xdr:rowOff>30480</xdr:rowOff>
        </xdr:from>
        <xdr:to>
          <xdr:col>15</xdr:col>
          <xdr:colOff>609600</xdr:colOff>
          <xdr:row>25</xdr:row>
          <xdr:rowOff>182880</xdr:rowOff>
        </xdr:to>
        <xdr:pic>
          <xdr:nvPicPr>
            <xdr:cNvPr id="50" name="Picture 49">
              <a:extLst>
                <a:ext uri="{FF2B5EF4-FFF2-40B4-BE49-F238E27FC236}">
                  <a16:creationId xmlns:a16="http://schemas.microsoft.com/office/drawing/2014/main" id="{90E57B6E-42AC-45B5-A48D-7A2641073650}"/>
                </a:ext>
              </a:extLst>
            </xdr:cNvPr>
            <xdr:cNvPicPr>
              <a:picLocks noChangeAspect="1" noChangeArrowheads="1"/>
              <a:extLst>
                <a:ext uri="{84589F7E-364E-4C9E-8A38-B11213B215E9}">
                  <a14:cameraTool cellRange="AuxR!$E$89" spid="_x0000_s375067"/>
                </a:ext>
              </a:extLst>
            </xdr:cNvPicPr>
          </xdr:nvPicPr>
          <xdr:blipFill>
            <a:blip xmlns:r="http://schemas.openxmlformats.org/officeDocument/2006/relationships" r:embed="rId7"/>
            <a:srcRect/>
            <a:stretch>
              <a:fillRect/>
            </a:stretch>
          </xdr:blipFill>
          <xdr:spPr bwMode="auto">
            <a:xfrm>
              <a:off x="12313920" y="4861560"/>
              <a:ext cx="1257300" cy="4038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594360</xdr:colOff>
          <xdr:row>24</xdr:row>
          <xdr:rowOff>15240</xdr:rowOff>
        </xdr:from>
        <xdr:to>
          <xdr:col>18</xdr:col>
          <xdr:colOff>63500</xdr:colOff>
          <xdr:row>25</xdr:row>
          <xdr:rowOff>167640</xdr:rowOff>
        </xdr:to>
        <xdr:pic>
          <xdr:nvPicPr>
            <xdr:cNvPr id="51" name="Picture 50">
              <a:extLst>
                <a:ext uri="{FF2B5EF4-FFF2-40B4-BE49-F238E27FC236}">
                  <a16:creationId xmlns:a16="http://schemas.microsoft.com/office/drawing/2014/main" id="{7C29FEFF-3D7F-4B6D-811C-963D7F9928FE}"/>
                </a:ext>
              </a:extLst>
            </xdr:cNvPr>
            <xdr:cNvPicPr>
              <a:picLocks noChangeAspect="1" noChangeArrowheads="1"/>
              <a:extLst>
                <a:ext uri="{84589F7E-364E-4C9E-8A38-B11213B215E9}">
                  <a14:cameraTool cellRange="AuxR!$F$89" spid="_x0000_s375068"/>
                </a:ext>
              </a:extLst>
            </xdr:cNvPicPr>
          </xdr:nvPicPr>
          <xdr:blipFill>
            <a:blip xmlns:r="http://schemas.openxmlformats.org/officeDocument/2006/relationships" r:embed="rId8"/>
            <a:srcRect/>
            <a:stretch>
              <a:fillRect/>
            </a:stretch>
          </xdr:blipFill>
          <xdr:spPr bwMode="auto">
            <a:xfrm>
              <a:off x="11742420" y="6736080"/>
              <a:ext cx="993140" cy="4038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40</xdr:row>
          <xdr:rowOff>15240</xdr:rowOff>
        </xdr:from>
        <xdr:to>
          <xdr:col>7</xdr:col>
          <xdr:colOff>594360</xdr:colOff>
          <xdr:row>41</xdr:row>
          <xdr:rowOff>167640</xdr:rowOff>
        </xdr:to>
        <xdr:pic>
          <xdr:nvPicPr>
            <xdr:cNvPr id="52" name="Picture 51">
              <a:extLst>
                <a:ext uri="{FF2B5EF4-FFF2-40B4-BE49-F238E27FC236}">
                  <a16:creationId xmlns:a16="http://schemas.microsoft.com/office/drawing/2014/main" id="{84FE7C66-6459-4699-B8AE-D21807B457E6}"/>
                </a:ext>
              </a:extLst>
            </xdr:cNvPr>
            <xdr:cNvPicPr>
              <a:picLocks noChangeAspect="1" noChangeArrowheads="1"/>
              <a:extLst>
                <a:ext uri="{84589F7E-364E-4C9E-8A38-B11213B215E9}">
                  <a14:cameraTool cellRange="AuxR!$E$90" spid="_x0000_s375069"/>
                </a:ext>
              </a:extLst>
            </xdr:cNvPicPr>
          </xdr:nvPicPr>
          <xdr:blipFill>
            <a:blip xmlns:r="http://schemas.openxmlformats.org/officeDocument/2006/relationships" r:embed="rId9"/>
            <a:srcRect/>
            <a:stretch>
              <a:fillRect/>
            </a:stretch>
          </xdr:blipFill>
          <xdr:spPr bwMode="auto">
            <a:xfrm>
              <a:off x="4236720" y="11452860"/>
              <a:ext cx="1257300" cy="4038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624840</xdr:colOff>
          <xdr:row>40</xdr:row>
          <xdr:rowOff>15240</xdr:rowOff>
        </xdr:from>
        <xdr:to>
          <xdr:col>9</xdr:col>
          <xdr:colOff>83820</xdr:colOff>
          <xdr:row>41</xdr:row>
          <xdr:rowOff>167640</xdr:rowOff>
        </xdr:to>
        <xdr:pic>
          <xdr:nvPicPr>
            <xdr:cNvPr id="53" name="Picture 52">
              <a:extLst>
                <a:ext uri="{FF2B5EF4-FFF2-40B4-BE49-F238E27FC236}">
                  <a16:creationId xmlns:a16="http://schemas.microsoft.com/office/drawing/2014/main" id="{47D72469-2F99-41E6-80A6-7B57C859326C}"/>
                </a:ext>
              </a:extLst>
            </xdr:cNvPr>
            <xdr:cNvPicPr>
              <a:picLocks noChangeAspect="1" noChangeArrowheads="1"/>
              <a:extLst>
                <a:ext uri="{84589F7E-364E-4C9E-8A38-B11213B215E9}">
                  <a14:cameraTool cellRange="AuxR!$F$90" spid="_x0000_s375070"/>
                </a:ext>
              </a:extLst>
            </xdr:cNvPicPr>
          </xdr:nvPicPr>
          <xdr:blipFill>
            <a:blip xmlns:r="http://schemas.openxmlformats.org/officeDocument/2006/relationships" r:embed="rId10"/>
            <a:srcRect/>
            <a:stretch>
              <a:fillRect/>
            </a:stretch>
          </xdr:blipFill>
          <xdr:spPr bwMode="auto">
            <a:xfrm>
              <a:off x="5524500" y="11452860"/>
              <a:ext cx="998220" cy="4038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167640</xdr:colOff>
          <xdr:row>40</xdr:row>
          <xdr:rowOff>22860</xdr:rowOff>
        </xdr:from>
        <xdr:to>
          <xdr:col>15</xdr:col>
          <xdr:colOff>594360</xdr:colOff>
          <xdr:row>41</xdr:row>
          <xdr:rowOff>175260</xdr:rowOff>
        </xdr:to>
        <xdr:pic>
          <xdr:nvPicPr>
            <xdr:cNvPr id="54" name="Picture 53">
              <a:extLst>
                <a:ext uri="{FF2B5EF4-FFF2-40B4-BE49-F238E27FC236}">
                  <a16:creationId xmlns:a16="http://schemas.microsoft.com/office/drawing/2014/main" id="{55EEC238-4C77-4689-B726-B1305532FE81}"/>
                </a:ext>
              </a:extLst>
            </xdr:cNvPr>
            <xdr:cNvPicPr>
              <a:picLocks noChangeAspect="1" noChangeArrowheads="1"/>
              <a:extLst>
                <a:ext uri="{84589F7E-364E-4C9E-8A38-B11213B215E9}">
                  <a14:cameraTool cellRange="AuxR!$E$91" spid="_x0000_s375071"/>
                </a:ext>
              </a:extLst>
            </xdr:cNvPicPr>
          </xdr:nvPicPr>
          <xdr:blipFill>
            <a:blip xmlns:r="http://schemas.openxmlformats.org/officeDocument/2006/relationships" r:embed="rId11"/>
            <a:srcRect/>
            <a:stretch>
              <a:fillRect/>
            </a:stretch>
          </xdr:blipFill>
          <xdr:spPr bwMode="auto">
            <a:xfrm>
              <a:off x="10485120" y="11460480"/>
              <a:ext cx="1257300" cy="4038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601980</xdr:colOff>
          <xdr:row>40</xdr:row>
          <xdr:rowOff>22860</xdr:rowOff>
        </xdr:from>
        <xdr:to>
          <xdr:col>18</xdr:col>
          <xdr:colOff>71120</xdr:colOff>
          <xdr:row>41</xdr:row>
          <xdr:rowOff>175260</xdr:rowOff>
        </xdr:to>
        <xdr:pic>
          <xdr:nvPicPr>
            <xdr:cNvPr id="55" name="Picture 54">
              <a:extLst>
                <a:ext uri="{FF2B5EF4-FFF2-40B4-BE49-F238E27FC236}">
                  <a16:creationId xmlns:a16="http://schemas.microsoft.com/office/drawing/2014/main" id="{3022DBB2-FC55-4328-8BA0-6A16796114AE}"/>
                </a:ext>
              </a:extLst>
            </xdr:cNvPr>
            <xdr:cNvPicPr>
              <a:picLocks noChangeAspect="1" noChangeArrowheads="1"/>
              <a:extLst>
                <a:ext uri="{84589F7E-364E-4C9E-8A38-B11213B215E9}">
                  <a14:cameraTool cellRange="AuxR!$F$91" spid="_x0000_s375072"/>
                </a:ext>
              </a:extLst>
            </xdr:cNvPicPr>
          </xdr:nvPicPr>
          <xdr:blipFill>
            <a:blip xmlns:r="http://schemas.openxmlformats.org/officeDocument/2006/relationships" r:embed="rId12"/>
            <a:srcRect/>
            <a:stretch>
              <a:fillRect/>
            </a:stretch>
          </xdr:blipFill>
          <xdr:spPr bwMode="auto">
            <a:xfrm>
              <a:off x="11750040" y="11460480"/>
              <a:ext cx="993140" cy="40386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1</xdr:col>
      <xdr:colOff>1933575</xdr:colOff>
      <xdr:row>0</xdr:row>
      <xdr:rowOff>0</xdr:rowOff>
    </xdr:from>
    <xdr:to>
      <xdr:col>3</xdr:col>
      <xdr:colOff>497499</xdr:colOff>
      <xdr:row>0</xdr:row>
      <xdr:rowOff>493258</xdr:rowOff>
    </xdr:to>
    <xdr:sp macro="" textlink="Lan!F11">
      <xdr:nvSpPr>
        <xdr:cNvPr id="56" name="TextBox 3">
          <a:hlinkClick xmlns:r="http://schemas.openxmlformats.org/officeDocument/2006/relationships" r:id="rId13"/>
          <a:extLst>
            <a:ext uri="{FF2B5EF4-FFF2-40B4-BE49-F238E27FC236}">
              <a16:creationId xmlns:a16="http://schemas.microsoft.com/office/drawing/2014/main" id="{7879D533-F266-4612-B2B1-90959FCAF87F}"/>
            </a:ext>
          </a:extLst>
        </xdr:cNvPr>
        <xdr:cNvSpPr txBox="1"/>
      </xdr:nvSpPr>
      <xdr:spPr>
        <a:xfrm>
          <a:off x="211455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3</xdr:col>
      <xdr:colOff>548787</xdr:colOff>
      <xdr:row>0</xdr:row>
      <xdr:rowOff>0</xdr:rowOff>
    </xdr:from>
    <xdr:to>
      <xdr:col>7</xdr:col>
      <xdr:colOff>560510</xdr:colOff>
      <xdr:row>0</xdr:row>
      <xdr:rowOff>493258</xdr:rowOff>
    </xdr:to>
    <xdr:sp macro="" textlink="Lan!F29">
      <xdr:nvSpPr>
        <xdr:cNvPr id="57" name="TextBox 3">
          <a:hlinkClick xmlns:r="http://schemas.openxmlformats.org/officeDocument/2006/relationships" r:id="rId14"/>
          <a:extLst>
            <a:ext uri="{FF2B5EF4-FFF2-40B4-BE49-F238E27FC236}">
              <a16:creationId xmlns:a16="http://schemas.microsoft.com/office/drawing/2014/main" id="{DDE31D15-8E15-46B3-B593-A721715E47E6}"/>
            </a:ext>
          </a:extLst>
        </xdr:cNvPr>
        <xdr:cNvSpPr txBox="1"/>
      </xdr:nvSpPr>
      <xdr:spPr>
        <a:xfrm>
          <a:off x="4025412" y="0"/>
          <a:ext cx="2240573"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7</xdr:col>
      <xdr:colOff>606395</xdr:colOff>
      <xdr:row>0</xdr:row>
      <xdr:rowOff>0</xdr:rowOff>
    </xdr:from>
    <xdr:to>
      <xdr:col>9</xdr:col>
      <xdr:colOff>902677</xdr:colOff>
      <xdr:row>0</xdr:row>
      <xdr:rowOff>493258</xdr:rowOff>
    </xdr:to>
    <xdr:sp macro="" textlink="Lan!F83">
      <xdr:nvSpPr>
        <xdr:cNvPr id="58" name="TextBox 3">
          <a:hlinkClick xmlns:r="http://schemas.openxmlformats.org/officeDocument/2006/relationships" r:id="rId15"/>
          <a:extLst>
            <a:ext uri="{FF2B5EF4-FFF2-40B4-BE49-F238E27FC236}">
              <a16:creationId xmlns:a16="http://schemas.microsoft.com/office/drawing/2014/main" id="{28D68679-74B8-429E-938A-EA54385D86E6}"/>
            </a:ext>
          </a:extLst>
        </xdr:cNvPr>
        <xdr:cNvSpPr txBox="1"/>
      </xdr:nvSpPr>
      <xdr:spPr>
        <a:xfrm>
          <a:off x="6311870" y="0"/>
          <a:ext cx="1791707" cy="493258"/>
        </a:xfrm>
        <a:prstGeom prst="rect">
          <a:avLst/>
        </a:prstGeom>
        <a:solidFill>
          <a:srgbClr val="07214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9</xdr:col>
      <xdr:colOff>946086</xdr:colOff>
      <xdr:row>0</xdr:row>
      <xdr:rowOff>0</xdr:rowOff>
    </xdr:from>
    <xdr:to>
      <xdr:col>10</xdr:col>
      <xdr:colOff>90118</xdr:colOff>
      <xdr:row>0</xdr:row>
      <xdr:rowOff>493258</xdr:rowOff>
    </xdr:to>
    <xdr:sp macro="" textlink="Lan!F86">
      <xdr:nvSpPr>
        <xdr:cNvPr id="59" name="TextBox 3">
          <a:hlinkClick xmlns:r="http://schemas.openxmlformats.org/officeDocument/2006/relationships" r:id="rId16"/>
          <a:extLst>
            <a:ext uri="{FF2B5EF4-FFF2-40B4-BE49-F238E27FC236}">
              <a16:creationId xmlns:a16="http://schemas.microsoft.com/office/drawing/2014/main" id="{22DAB10A-DD98-4F51-B7E7-5C0C90A1BD46}"/>
            </a:ext>
          </a:extLst>
        </xdr:cNvPr>
        <xdr:cNvSpPr txBox="1"/>
      </xdr:nvSpPr>
      <xdr:spPr>
        <a:xfrm>
          <a:off x="814698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1933575</xdr:colOff>
      <xdr:row>0</xdr:row>
      <xdr:rowOff>0</xdr:rowOff>
    </xdr:from>
    <xdr:to>
      <xdr:col>1</xdr:col>
      <xdr:colOff>2431806</xdr:colOff>
      <xdr:row>0</xdr:row>
      <xdr:rowOff>481496</xdr:rowOff>
    </xdr:to>
    <xdr:pic>
      <xdr:nvPicPr>
        <xdr:cNvPr id="60" name="Imagen 59" descr="Settings Icon of Flat style - Available in SVG, PNG, EPS, AI &amp; Icon fonts">
          <a:hlinkClick xmlns:r="http://schemas.openxmlformats.org/officeDocument/2006/relationships" r:id="rId13"/>
          <a:extLst>
            <a:ext uri="{FF2B5EF4-FFF2-40B4-BE49-F238E27FC236}">
              <a16:creationId xmlns:a16="http://schemas.microsoft.com/office/drawing/2014/main" id="{CC7FF887-E76B-45E8-BC93-714FC8D284AF}"/>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8555" r="8739" b="1493"/>
        <a:stretch/>
      </xdr:blipFill>
      <xdr:spPr bwMode="auto">
        <a:xfrm>
          <a:off x="211455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570768</xdr:colOff>
      <xdr:row>0</xdr:row>
      <xdr:rowOff>14654</xdr:rowOff>
    </xdr:from>
    <xdr:to>
      <xdr:col>4</xdr:col>
      <xdr:colOff>325314</xdr:colOff>
      <xdr:row>0</xdr:row>
      <xdr:rowOff>485740</xdr:rowOff>
    </xdr:to>
    <xdr:pic>
      <xdr:nvPicPr>
        <xdr:cNvPr id="61" name="Imagen 60" descr="Strategy Clipart Icon Web Icons Png - Strategy Icon Png Transparent Png -  Full Size Clipart (#137502) - PinClipart">
          <a:hlinkClick xmlns:r="http://schemas.openxmlformats.org/officeDocument/2006/relationships" r:id="rId14"/>
          <a:extLst>
            <a:ext uri="{FF2B5EF4-FFF2-40B4-BE49-F238E27FC236}">
              <a16:creationId xmlns:a16="http://schemas.microsoft.com/office/drawing/2014/main" id="{3D14299E-C4AB-4FA7-8DE5-B693D2EFE03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04739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626452</xdr:colOff>
      <xdr:row>0</xdr:row>
      <xdr:rowOff>0</xdr:rowOff>
    </xdr:from>
    <xdr:to>
      <xdr:col>7</xdr:col>
      <xdr:colOff>1022105</xdr:colOff>
      <xdr:row>0</xdr:row>
      <xdr:rowOff>476812</xdr:rowOff>
    </xdr:to>
    <xdr:pic>
      <xdr:nvPicPr>
        <xdr:cNvPr id="62" name="Imagen 61" descr="report - Image Storage - Reedsburg, Wisconsin">
          <a:hlinkClick xmlns:r="http://schemas.openxmlformats.org/officeDocument/2006/relationships" r:id="rId15"/>
          <a:extLst>
            <a:ext uri="{FF2B5EF4-FFF2-40B4-BE49-F238E27FC236}">
              <a16:creationId xmlns:a16="http://schemas.microsoft.com/office/drawing/2014/main" id="{514FAB5A-9A83-42C6-B0F1-AA2324DC032F}"/>
            </a:ext>
          </a:extLst>
        </xdr:cNvPr>
        <xdr:cNvPicPr>
          <a:picLocks noChangeAspect="1" noChangeArrowheads="1"/>
        </xdr:cNvPicPr>
      </xdr:nvPicPr>
      <xdr:blipFill rotWithShape="1">
        <a:blip xmlns:r="http://schemas.openxmlformats.org/officeDocument/2006/relationships" r:embed="rId19" cstate="print">
          <a:extLst>
            <a:ext uri="{BEBA8EAE-BF5A-486C-A8C5-ECC9F3942E4B}">
              <a14:imgProps xmlns:a14="http://schemas.microsoft.com/office/drawing/2010/main">
                <a14:imgLayer r:embed="rId20">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33192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9</xdr:col>
      <xdr:colOff>961290</xdr:colOff>
      <xdr:row>0</xdr:row>
      <xdr:rowOff>14654</xdr:rowOff>
    </xdr:from>
    <xdr:to>
      <xdr:col>9</xdr:col>
      <xdr:colOff>1540117</xdr:colOff>
      <xdr:row>0</xdr:row>
      <xdr:rowOff>492340</xdr:rowOff>
    </xdr:to>
    <xdr:pic>
      <xdr:nvPicPr>
        <xdr:cNvPr id="63" name="Imagen 62" descr="Dashboards Icon #145224 - Free Icons Library">
          <a:hlinkClick xmlns:r="http://schemas.openxmlformats.org/officeDocument/2006/relationships" r:id="rId16"/>
          <a:extLst>
            <a:ext uri="{FF2B5EF4-FFF2-40B4-BE49-F238E27FC236}">
              <a16:creationId xmlns:a16="http://schemas.microsoft.com/office/drawing/2014/main" id="{95FB6C6D-A68B-421C-9475-32108671E68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8650" b="8922"/>
        <a:stretch/>
      </xdr:blipFill>
      <xdr:spPr bwMode="auto">
        <a:xfrm>
          <a:off x="816219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2769712</xdr:colOff>
      <xdr:row>1</xdr:row>
      <xdr:rowOff>9525</xdr:rowOff>
    </xdr:from>
    <xdr:to>
      <xdr:col>4</xdr:col>
      <xdr:colOff>623430</xdr:colOff>
      <xdr:row>1</xdr:row>
      <xdr:rowOff>312084</xdr:rowOff>
    </xdr:to>
    <xdr:sp macro="" textlink="Lan!$F$84">
      <xdr:nvSpPr>
        <xdr:cNvPr id="64" name="Rectángulo 63">
          <a:hlinkClick xmlns:r="http://schemas.openxmlformats.org/officeDocument/2006/relationships" r:id="rId15"/>
          <a:extLst>
            <a:ext uri="{FF2B5EF4-FFF2-40B4-BE49-F238E27FC236}">
              <a16:creationId xmlns:a16="http://schemas.microsoft.com/office/drawing/2014/main" id="{2ABAD701-ED9B-47D3-99B7-D3E48D0BA59D}"/>
            </a:ext>
          </a:extLst>
        </xdr:cNvPr>
        <xdr:cNvSpPr/>
      </xdr:nvSpPr>
      <xdr:spPr>
        <a:xfrm>
          <a:off x="2950687" y="504825"/>
          <a:ext cx="1863743"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0FD622D-4321-4EBD-9929-53F5B37E1364}" type="TxLink">
            <a:rPr lang="en-US" sz="1100" b="1" i="0" u="none" strike="noStrike">
              <a:solidFill>
                <a:schemeClr val="tx1"/>
              </a:solidFill>
              <a:latin typeface="CALIBRI"/>
              <a:cs typeface="CALIBRI"/>
            </a:rPr>
            <a:pPr algn="ctr"/>
            <a:t>3.1. Informe Plan Estratégico</a:t>
          </a:fld>
          <a:endParaRPr lang="en-US" sz="2400" b="1">
            <a:solidFill>
              <a:schemeClr val="tx1"/>
            </a:solidFill>
          </a:endParaRPr>
        </a:p>
      </xdr:txBody>
    </xdr:sp>
    <xdr:clientData/>
  </xdr:twoCellAnchor>
  <xdr:twoCellAnchor>
    <xdr:from>
      <xdr:col>4</xdr:col>
      <xdr:colOff>626587</xdr:colOff>
      <xdr:row>1</xdr:row>
      <xdr:rowOff>9525</xdr:rowOff>
    </xdr:from>
    <xdr:to>
      <xdr:col>7</xdr:col>
      <xdr:colOff>1009650</xdr:colOff>
      <xdr:row>1</xdr:row>
      <xdr:rowOff>312084</xdr:rowOff>
    </xdr:to>
    <xdr:sp macro="" textlink="Lan!$F$85">
      <xdr:nvSpPr>
        <xdr:cNvPr id="65" name="Rectángulo 64">
          <a:hlinkClick xmlns:r="http://schemas.openxmlformats.org/officeDocument/2006/relationships" r:id="rId22"/>
          <a:extLst>
            <a:ext uri="{FF2B5EF4-FFF2-40B4-BE49-F238E27FC236}">
              <a16:creationId xmlns:a16="http://schemas.microsoft.com/office/drawing/2014/main" id="{A9264644-8433-445C-A388-2C1D89540513}"/>
            </a:ext>
          </a:extLst>
        </xdr:cNvPr>
        <xdr:cNvSpPr/>
      </xdr:nvSpPr>
      <xdr:spPr>
        <a:xfrm>
          <a:off x="4817587" y="504825"/>
          <a:ext cx="1897538"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462CA03-311C-4E72-B545-D676AA63C566}" type="TxLink">
            <a:rPr lang="en-US" sz="1100" b="1" i="0" u="none" strike="noStrike">
              <a:solidFill>
                <a:schemeClr val="bg1"/>
              </a:solidFill>
              <a:latin typeface="CALIBRI"/>
              <a:cs typeface="CALIBRI"/>
            </a:rPr>
            <a:pPr algn="ctr"/>
            <a:t>3.2. Informe Plan de Acción</a:t>
          </a:fld>
          <a:endParaRPr lang="en-US" sz="1100" b="1">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7620</xdr:colOff>
      <xdr:row>8</xdr:row>
      <xdr:rowOff>91440</xdr:rowOff>
    </xdr:from>
    <xdr:to>
      <xdr:col>11</xdr:col>
      <xdr:colOff>0</xdr:colOff>
      <xdr:row>10</xdr:row>
      <xdr:rowOff>228600</xdr:rowOff>
    </xdr:to>
    <xdr:sp macro="" textlink="">
      <xdr:nvSpPr>
        <xdr:cNvPr id="50" name="Rectangle 49">
          <a:extLst>
            <a:ext uri="{FF2B5EF4-FFF2-40B4-BE49-F238E27FC236}">
              <a16:creationId xmlns:a16="http://schemas.microsoft.com/office/drawing/2014/main" id="{4EE472BC-3595-4A26-A4B0-BD97EBBDAB1E}"/>
            </a:ext>
          </a:extLst>
        </xdr:cNvPr>
        <xdr:cNvSpPr/>
      </xdr:nvSpPr>
      <xdr:spPr>
        <a:xfrm>
          <a:off x="6957060" y="845820"/>
          <a:ext cx="1348740" cy="64008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7</xdr:col>
      <xdr:colOff>9525</xdr:colOff>
      <xdr:row>8</xdr:row>
      <xdr:rowOff>114301</xdr:rowOff>
    </xdr:from>
    <xdr:ext cx="1343025" cy="247650"/>
    <xdr:sp macro="" textlink="Lan!F117">
      <xdr:nvSpPr>
        <xdr:cNvPr id="5" name="TextBox 4">
          <a:extLst>
            <a:ext uri="{FF2B5EF4-FFF2-40B4-BE49-F238E27FC236}">
              <a16:creationId xmlns:a16="http://schemas.microsoft.com/office/drawing/2014/main" id="{A0BEB01F-7C0A-4D86-962E-BBCD88BF88FF}"/>
            </a:ext>
          </a:extLst>
        </xdr:cNvPr>
        <xdr:cNvSpPr txBox="1"/>
      </xdr:nvSpPr>
      <xdr:spPr>
        <a:xfrm>
          <a:off x="5915025" y="2371726"/>
          <a:ext cx="134302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14920768-3499-4210-864B-087F5D59D8B4}" type="TxLink">
            <a:rPr lang="en-US" sz="1000" b="0" i="0" u="none" strike="noStrike">
              <a:solidFill>
                <a:schemeClr val="tx1">
                  <a:lumMod val="65000"/>
                  <a:lumOff val="35000"/>
                </a:schemeClr>
              </a:solidFill>
              <a:latin typeface="CALIBRI"/>
              <a:cs typeface="CALIBRI"/>
            </a:rPr>
            <a:pPr algn="ctr"/>
            <a:t>Progreso promedio</a:t>
          </a:fld>
          <a:endParaRPr lang="fr-CA" sz="1100">
            <a:solidFill>
              <a:schemeClr val="tx1">
                <a:lumMod val="65000"/>
                <a:lumOff val="35000"/>
              </a:schemeClr>
            </a:solidFill>
          </a:endParaRPr>
        </a:p>
      </xdr:txBody>
    </xdr:sp>
    <xdr:clientData/>
  </xdr:oneCellAnchor>
  <xdr:oneCellAnchor>
    <xdr:from>
      <xdr:col>7</xdr:col>
      <xdr:colOff>99060</xdr:colOff>
      <xdr:row>9</xdr:row>
      <xdr:rowOff>76200</xdr:rowOff>
    </xdr:from>
    <xdr:ext cx="1135380" cy="342786"/>
    <xdr:sp macro="" textlink="AuxPlan!C66">
      <xdr:nvSpPr>
        <xdr:cNvPr id="8" name="TextBox 7">
          <a:extLst>
            <a:ext uri="{FF2B5EF4-FFF2-40B4-BE49-F238E27FC236}">
              <a16:creationId xmlns:a16="http://schemas.microsoft.com/office/drawing/2014/main" id="{1CEC27BC-D470-4130-A1A9-A68E517A6818}"/>
            </a:ext>
          </a:extLst>
        </xdr:cNvPr>
        <xdr:cNvSpPr txBox="1"/>
      </xdr:nvSpPr>
      <xdr:spPr>
        <a:xfrm>
          <a:off x="7071360" y="1082040"/>
          <a:ext cx="11353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0EFCF5DD-13AF-463C-8113-FE159A914770}" type="TxLink">
            <a:rPr lang="en-US" sz="1600" b="0" i="0" u="none" strike="noStrike">
              <a:solidFill>
                <a:schemeClr val="tx1">
                  <a:lumMod val="65000"/>
                  <a:lumOff val="35000"/>
                </a:schemeClr>
              </a:solidFill>
              <a:latin typeface="CALIBRI"/>
              <a:cs typeface="CALIBRI"/>
            </a:rPr>
            <a:pPr algn="ctr"/>
            <a:t>20%</a:t>
          </a:fld>
          <a:endParaRPr lang="fr-CA" sz="1600">
            <a:solidFill>
              <a:schemeClr val="tx1">
                <a:lumMod val="65000"/>
                <a:lumOff val="35000"/>
              </a:schemeClr>
            </a:solidFill>
          </a:endParaRPr>
        </a:p>
      </xdr:txBody>
    </xdr:sp>
    <xdr:clientData/>
  </xdr:oneCellAnchor>
  <mc:AlternateContent xmlns:mc="http://schemas.openxmlformats.org/markup-compatibility/2006">
    <mc:Choice xmlns:a14="http://schemas.microsoft.com/office/drawing/2010/main" Requires="a14">
      <xdr:twoCellAnchor editAs="oneCell">
        <xdr:from>
          <xdr:col>7</xdr:col>
          <xdr:colOff>91440</xdr:colOff>
          <xdr:row>9</xdr:row>
          <xdr:rowOff>99060</xdr:rowOff>
        </xdr:from>
        <xdr:to>
          <xdr:col>12</xdr:col>
          <xdr:colOff>283845</xdr:colOff>
          <xdr:row>10</xdr:row>
          <xdr:rowOff>106680</xdr:rowOff>
        </xdr:to>
        <xdr:pic>
          <xdr:nvPicPr>
            <xdr:cNvPr id="20" name="Picture 19">
              <a:extLst>
                <a:ext uri="{FF2B5EF4-FFF2-40B4-BE49-F238E27FC236}">
                  <a16:creationId xmlns:a16="http://schemas.microsoft.com/office/drawing/2014/main" id="{4EE6D65E-28D4-46F7-AD97-CCD4F71B2202}"/>
                </a:ext>
              </a:extLst>
            </xdr:cNvPr>
            <xdr:cNvPicPr>
              <a:picLocks noChangeAspect="1" noChangeArrowheads="1"/>
              <a:extLst>
                <a:ext uri="{84589F7E-364E-4C9E-8A38-B11213B215E9}">
                  <a14:cameraTool cellRange="AuxPlan!$D$66" spid="_x0000_s354985"/>
                </a:ext>
              </a:extLst>
            </xdr:cNvPicPr>
          </xdr:nvPicPr>
          <xdr:blipFill>
            <a:blip xmlns:r="http://schemas.openxmlformats.org/officeDocument/2006/relationships" r:embed="rId1"/>
            <a:srcRect/>
            <a:stretch>
              <a:fillRect/>
            </a:stretch>
          </xdr:blipFill>
          <xdr:spPr bwMode="auto">
            <a:xfrm>
              <a:off x="7063740" y="1104900"/>
              <a:ext cx="1859280" cy="25908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6</xdr:col>
      <xdr:colOff>0</xdr:colOff>
      <xdr:row>24</xdr:row>
      <xdr:rowOff>91440</xdr:rowOff>
    </xdr:from>
    <xdr:to>
      <xdr:col>10</xdr:col>
      <xdr:colOff>289560</xdr:colOff>
      <xdr:row>26</xdr:row>
      <xdr:rowOff>228600</xdr:rowOff>
    </xdr:to>
    <xdr:sp macro="" textlink="">
      <xdr:nvSpPr>
        <xdr:cNvPr id="22" name="Rectangle 21">
          <a:extLst>
            <a:ext uri="{FF2B5EF4-FFF2-40B4-BE49-F238E27FC236}">
              <a16:creationId xmlns:a16="http://schemas.microsoft.com/office/drawing/2014/main" id="{65F3669F-FF7F-4C85-87DF-7901E1EF1675}"/>
            </a:ext>
          </a:extLst>
        </xdr:cNvPr>
        <xdr:cNvSpPr/>
      </xdr:nvSpPr>
      <xdr:spPr>
        <a:xfrm>
          <a:off x="7033260" y="4671060"/>
          <a:ext cx="1348740" cy="64008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6</xdr:col>
      <xdr:colOff>9525</xdr:colOff>
      <xdr:row>24</xdr:row>
      <xdr:rowOff>114300</xdr:rowOff>
    </xdr:from>
    <xdr:ext cx="1362075" cy="248851"/>
    <xdr:sp macro="" textlink="Lan!F117">
      <xdr:nvSpPr>
        <xdr:cNvPr id="23" name="TextBox 22">
          <a:extLst>
            <a:ext uri="{FF2B5EF4-FFF2-40B4-BE49-F238E27FC236}">
              <a16:creationId xmlns:a16="http://schemas.microsoft.com/office/drawing/2014/main" id="{95C70C7C-AA78-496B-822F-9575D5B76A45}"/>
            </a:ext>
          </a:extLst>
        </xdr:cNvPr>
        <xdr:cNvSpPr txBox="1"/>
      </xdr:nvSpPr>
      <xdr:spPr>
        <a:xfrm>
          <a:off x="5895975" y="7477125"/>
          <a:ext cx="1362075"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4920768-3499-4210-864B-087F5D59D8B4}" type="TxLink">
            <a:rPr lang="en-US" sz="1000" b="0" i="0" u="none" strike="noStrike">
              <a:solidFill>
                <a:schemeClr val="tx1">
                  <a:lumMod val="65000"/>
                  <a:lumOff val="35000"/>
                </a:schemeClr>
              </a:solidFill>
              <a:latin typeface="CALIBRI"/>
              <a:cs typeface="CALIBRI"/>
            </a:rPr>
            <a:pPr algn="ctr"/>
            <a:t>Progreso promedio</a:t>
          </a:fld>
          <a:endParaRPr lang="fr-CA" sz="1100">
            <a:solidFill>
              <a:schemeClr val="tx1">
                <a:lumMod val="65000"/>
                <a:lumOff val="35000"/>
              </a:schemeClr>
            </a:solidFill>
          </a:endParaRPr>
        </a:p>
      </xdr:txBody>
    </xdr:sp>
    <xdr:clientData/>
  </xdr:oneCellAnchor>
  <xdr:oneCellAnchor>
    <xdr:from>
      <xdr:col>7</xdr:col>
      <xdr:colOff>121920</xdr:colOff>
      <xdr:row>25</xdr:row>
      <xdr:rowOff>91440</xdr:rowOff>
    </xdr:from>
    <xdr:ext cx="1135380" cy="342786"/>
    <xdr:sp macro="" textlink="AuxPlan!C68">
      <xdr:nvSpPr>
        <xdr:cNvPr id="26" name="TextBox 25">
          <a:extLst>
            <a:ext uri="{FF2B5EF4-FFF2-40B4-BE49-F238E27FC236}">
              <a16:creationId xmlns:a16="http://schemas.microsoft.com/office/drawing/2014/main" id="{0B9D916A-38C5-4552-8ADD-6FD86B68EBC9}"/>
            </a:ext>
          </a:extLst>
        </xdr:cNvPr>
        <xdr:cNvSpPr txBox="1"/>
      </xdr:nvSpPr>
      <xdr:spPr>
        <a:xfrm>
          <a:off x="7094220" y="5120640"/>
          <a:ext cx="11353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25B2A48-ADEE-478F-B9A9-4DD78F889599}" type="TxLink">
            <a:rPr lang="en-US" sz="1600" b="0" i="0" u="none" strike="noStrike">
              <a:solidFill>
                <a:schemeClr val="tx1">
                  <a:lumMod val="65000"/>
                  <a:lumOff val="35000"/>
                </a:schemeClr>
              </a:solidFill>
              <a:latin typeface="CALIBRI"/>
              <a:cs typeface="CALIBRI"/>
            </a:rPr>
            <a:pPr algn="ctr"/>
            <a:t>5%</a:t>
          </a:fld>
          <a:endParaRPr lang="fr-CA" sz="1600">
            <a:solidFill>
              <a:schemeClr val="tx1">
                <a:lumMod val="65000"/>
                <a:lumOff val="35000"/>
              </a:schemeClr>
            </a:solidFill>
          </a:endParaRPr>
        </a:p>
      </xdr:txBody>
    </xdr:sp>
    <xdr:clientData/>
  </xdr:oneCellAnchor>
  <mc:AlternateContent xmlns:mc="http://schemas.openxmlformats.org/markup-compatibility/2006">
    <mc:Choice xmlns:a14="http://schemas.microsoft.com/office/drawing/2010/main" Requires="a14">
      <xdr:twoCellAnchor editAs="oneCell">
        <xdr:from>
          <xdr:col>7</xdr:col>
          <xdr:colOff>129540</xdr:colOff>
          <xdr:row>25</xdr:row>
          <xdr:rowOff>106680</xdr:rowOff>
        </xdr:from>
        <xdr:to>
          <xdr:col>12</xdr:col>
          <xdr:colOff>321945</xdr:colOff>
          <xdr:row>26</xdr:row>
          <xdr:rowOff>114300</xdr:rowOff>
        </xdr:to>
        <xdr:pic>
          <xdr:nvPicPr>
            <xdr:cNvPr id="28" name="Picture 27">
              <a:extLst>
                <a:ext uri="{FF2B5EF4-FFF2-40B4-BE49-F238E27FC236}">
                  <a16:creationId xmlns:a16="http://schemas.microsoft.com/office/drawing/2014/main" id="{4CEF107F-5B92-4ECA-9A5D-0E49DF0C0DEA}"/>
                </a:ext>
              </a:extLst>
            </xdr:cNvPr>
            <xdr:cNvPicPr>
              <a:picLocks noChangeAspect="1" noChangeArrowheads="1"/>
              <a:extLst>
                <a:ext uri="{84589F7E-364E-4C9E-8A38-B11213B215E9}">
                  <a14:cameraTool cellRange="AuxPlan!$D$68" spid="_x0000_s354986"/>
                </a:ext>
              </a:extLst>
            </xdr:cNvPicPr>
          </xdr:nvPicPr>
          <xdr:blipFill>
            <a:blip xmlns:r="http://schemas.openxmlformats.org/officeDocument/2006/relationships" r:embed="rId2"/>
            <a:srcRect/>
            <a:stretch>
              <a:fillRect/>
            </a:stretch>
          </xdr:blipFill>
          <xdr:spPr bwMode="auto">
            <a:xfrm>
              <a:off x="7101840" y="5135880"/>
              <a:ext cx="1859280" cy="25908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6</xdr:col>
      <xdr:colOff>7620</xdr:colOff>
      <xdr:row>40</xdr:row>
      <xdr:rowOff>91440</xdr:rowOff>
    </xdr:from>
    <xdr:to>
      <xdr:col>11</xdr:col>
      <xdr:colOff>0</xdr:colOff>
      <xdr:row>42</xdr:row>
      <xdr:rowOff>228600</xdr:rowOff>
    </xdr:to>
    <xdr:sp macro="" textlink="">
      <xdr:nvSpPr>
        <xdr:cNvPr id="29" name="Rectangle 28">
          <a:extLst>
            <a:ext uri="{FF2B5EF4-FFF2-40B4-BE49-F238E27FC236}">
              <a16:creationId xmlns:a16="http://schemas.microsoft.com/office/drawing/2014/main" id="{2E9B742D-705E-4F4E-BAD7-27DBDE7C500B}"/>
            </a:ext>
          </a:extLst>
        </xdr:cNvPr>
        <xdr:cNvSpPr/>
      </xdr:nvSpPr>
      <xdr:spPr>
        <a:xfrm>
          <a:off x="7040880" y="8747760"/>
          <a:ext cx="1348740" cy="64008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7</xdr:col>
      <xdr:colOff>0</xdr:colOff>
      <xdr:row>40</xdr:row>
      <xdr:rowOff>114300</xdr:rowOff>
    </xdr:from>
    <xdr:ext cx="1352550" cy="248851"/>
    <xdr:sp macro="" textlink="Lan!F117">
      <xdr:nvSpPr>
        <xdr:cNvPr id="30" name="TextBox 29">
          <a:extLst>
            <a:ext uri="{FF2B5EF4-FFF2-40B4-BE49-F238E27FC236}">
              <a16:creationId xmlns:a16="http://schemas.microsoft.com/office/drawing/2014/main" id="{A92D312E-8CD1-466A-8104-E563020D97A7}"/>
            </a:ext>
          </a:extLst>
        </xdr:cNvPr>
        <xdr:cNvSpPr txBox="1"/>
      </xdr:nvSpPr>
      <xdr:spPr>
        <a:xfrm>
          <a:off x="5905500" y="12582525"/>
          <a:ext cx="135255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4920768-3499-4210-864B-087F5D59D8B4}" type="TxLink">
            <a:rPr lang="en-US" sz="1000" b="0" i="0" u="none" strike="noStrike">
              <a:solidFill>
                <a:schemeClr val="tx1">
                  <a:lumMod val="65000"/>
                  <a:lumOff val="35000"/>
                </a:schemeClr>
              </a:solidFill>
              <a:latin typeface="CALIBRI"/>
              <a:cs typeface="CALIBRI"/>
            </a:rPr>
            <a:pPr algn="ctr"/>
            <a:t>Progreso promedio</a:t>
          </a:fld>
          <a:endParaRPr lang="fr-CA" sz="1100">
            <a:solidFill>
              <a:schemeClr val="tx1">
                <a:lumMod val="65000"/>
                <a:lumOff val="35000"/>
              </a:schemeClr>
            </a:solidFill>
          </a:endParaRPr>
        </a:p>
      </xdr:txBody>
    </xdr:sp>
    <xdr:clientData/>
  </xdr:oneCellAnchor>
  <xdr:oneCellAnchor>
    <xdr:from>
      <xdr:col>7</xdr:col>
      <xdr:colOff>129540</xdr:colOff>
      <xdr:row>41</xdr:row>
      <xdr:rowOff>91440</xdr:rowOff>
    </xdr:from>
    <xdr:ext cx="1135380" cy="342786"/>
    <xdr:sp macro="" textlink="AuxPlan!C70">
      <xdr:nvSpPr>
        <xdr:cNvPr id="32" name="TextBox 31">
          <a:extLst>
            <a:ext uri="{FF2B5EF4-FFF2-40B4-BE49-F238E27FC236}">
              <a16:creationId xmlns:a16="http://schemas.microsoft.com/office/drawing/2014/main" id="{F85C3449-FA70-42CE-84F6-90ED4DEDB464}"/>
            </a:ext>
          </a:extLst>
        </xdr:cNvPr>
        <xdr:cNvSpPr txBox="1"/>
      </xdr:nvSpPr>
      <xdr:spPr>
        <a:xfrm>
          <a:off x="7101840" y="9144000"/>
          <a:ext cx="11353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05759227-18F3-412D-82B1-D21871EA4B4A}" type="TxLink">
            <a:rPr lang="en-US" sz="1600" b="0" i="0" u="none" strike="noStrike">
              <a:solidFill>
                <a:schemeClr val="tx1">
                  <a:lumMod val="65000"/>
                  <a:lumOff val="35000"/>
                </a:schemeClr>
              </a:solidFill>
              <a:latin typeface="CALIBRI"/>
              <a:cs typeface="CALIBRI"/>
            </a:rPr>
            <a:pPr algn="ctr"/>
            <a:t>0%</a:t>
          </a:fld>
          <a:endParaRPr lang="fr-CA" sz="1600">
            <a:solidFill>
              <a:schemeClr val="tx1">
                <a:lumMod val="65000"/>
                <a:lumOff val="35000"/>
              </a:schemeClr>
            </a:solidFill>
          </a:endParaRPr>
        </a:p>
      </xdr:txBody>
    </xdr:sp>
    <xdr:clientData/>
  </xdr:oneCellAnchor>
  <xdr:twoCellAnchor>
    <xdr:from>
      <xdr:col>17</xdr:col>
      <xdr:colOff>7620</xdr:colOff>
      <xdr:row>8</xdr:row>
      <xdr:rowOff>83820</xdr:rowOff>
    </xdr:from>
    <xdr:to>
      <xdr:col>22</xdr:col>
      <xdr:colOff>0</xdr:colOff>
      <xdr:row>10</xdr:row>
      <xdr:rowOff>220980</xdr:rowOff>
    </xdr:to>
    <xdr:sp macro="" textlink="">
      <xdr:nvSpPr>
        <xdr:cNvPr id="34" name="Rectangle 33">
          <a:extLst>
            <a:ext uri="{FF2B5EF4-FFF2-40B4-BE49-F238E27FC236}">
              <a16:creationId xmlns:a16="http://schemas.microsoft.com/office/drawing/2014/main" id="{06630A84-6759-4DAC-9354-9BEE60276AC5}"/>
            </a:ext>
          </a:extLst>
        </xdr:cNvPr>
        <xdr:cNvSpPr/>
      </xdr:nvSpPr>
      <xdr:spPr>
        <a:xfrm>
          <a:off x="13677900" y="838200"/>
          <a:ext cx="1348740" cy="64008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17</xdr:col>
      <xdr:colOff>9525</xdr:colOff>
      <xdr:row>8</xdr:row>
      <xdr:rowOff>106680</xdr:rowOff>
    </xdr:from>
    <xdr:ext cx="1343025" cy="248851"/>
    <xdr:sp macro="" textlink="Lan!F117">
      <xdr:nvSpPr>
        <xdr:cNvPr id="35" name="TextBox 34">
          <a:extLst>
            <a:ext uri="{FF2B5EF4-FFF2-40B4-BE49-F238E27FC236}">
              <a16:creationId xmlns:a16="http://schemas.microsoft.com/office/drawing/2014/main" id="{B520D1C5-0BC4-4928-B69F-ABFBCB4F3045}"/>
            </a:ext>
          </a:extLst>
        </xdr:cNvPr>
        <xdr:cNvSpPr txBox="1"/>
      </xdr:nvSpPr>
      <xdr:spPr>
        <a:xfrm>
          <a:off x="13239750" y="2364105"/>
          <a:ext cx="1343025"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4920768-3499-4210-864B-087F5D59D8B4}" type="TxLink">
            <a:rPr lang="en-US" sz="1000" b="0" i="0" u="none" strike="noStrike">
              <a:solidFill>
                <a:schemeClr val="tx1">
                  <a:lumMod val="65000"/>
                  <a:lumOff val="35000"/>
                </a:schemeClr>
              </a:solidFill>
              <a:latin typeface="CALIBRI"/>
              <a:cs typeface="CALIBRI"/>
            </a:rPr>
            <a:pPr algn="ctr"/>
            <a:t>Progreso promedio</a:t>
          </a:fld>
          <a:endParaRPr lang="fr-CA" sz="1100">
            <a:solidFill>
              <a:schemeClr val="tx1">
                <a:lumMod val="65000"/>
                <a:lumOff val="35000"/>
              </a:schemeClr>
            </a:solidFill>
          </a:endParaRPr>
        </a:p>
      </xdr:txBody>
    </xdr:sp>
    <xdr:clientData/>
  </xdr:oneCellAnchor>
  <xdr:oneCellAnchor>
    <xdr:from>
      <xdr:col>18</xdr:col>
      <xdr:colOff>129540</xdr:colOff>
      <xdr:row>9</xdr:row>
      <xdr:rowOff>83820</xdr:rowOff>
    </xdr:from>
    <xdr:ext cx="1135380" cy="342786"/>
    <xdr:sp macro="" textlink="AuxPlan!C67">
      <xdr:nvSpPr>
        <xdr:cNvPr id="36" name="TextBox 35">
          <a:extLst>
            <a:ext uri="{FF2B5EF4-FFF2-40B4-BE49-F238E27FC236}">
              <a16:creationId xmlns:a16="http://schemas.microsoft.com/office/drawing/2014/main" id="{E6A4EFBD-B713-403F-B4FB-0AEC9C719337}"/>
            </a:ext>
          </a:extLst>
        </xdr:cNvPr>
        <xdr:cNvSpPr txBox="1"/>
      </xdr:nvSpPr>
      <xdr:spPr>
        <a:xfrm>
          <a:off x="13822680" y="1089660"/>
          <a:ext cx="11353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5C7770C9-12EB-4B76-9770-12FA951C0A47}" type="TxLink">
            <a:rPr lang="en-US" sz="1600" b="0" i="0" u="none" strike="noStrike">
              <a:solidFill>
                <a:schemeClr val="tx1">
                  <a:lumMod val="65000"/>
                  <a:lumOff val="35000"/>
                </a:schemeClr>
              </a:solidFill>
              <a:latin typeface="CALIBRI"/>
              <a:cs typeface="CALIBRI"/>
            </a:rPr>
            <a:pPr algn="ctr"/>
            <a:t>0%</a:t>
          </a:fld>
          <a:endParaRPr lang="fr-CA" sz="1600">
            <a:solidFill>
              <a:schemeClr val="tx1">
                <a:lumMod val="65000"/>
                <a:lumOff val="35000"/>
              </a:schemeClr>
            </a:solidFill>
          </a:endParaRPr>
        </a:p>
      </xdr:txBody>
    </xdr:sp>
    <xdr:clientData/>
  </xdr:oneCellAnchor>
  <mc:AlternateContent xmlns:mc="http://schemas.openxmlformats.org/markup-compatibility/2006">
    <mc:Choice xmlns:a14="http://schemas.microsoft.com/office/drawing/2010/main" Requires="a14">
      <xdr:twoCellAnchor editAs="oneCell">
        <xdr:from>
          <xdr:col>7</xdr:col>
          <xdr:colOff>167640</xdr:colOff>
          <xdr:row>41</xdr:row>
          <xdr:rowOff>106680</xdr:rowOff>
        </xdr:from>
        <xdr:to>
          <xdr:col>12</xdr:col>
          <xdr:colOff>360045</xdr:colOff>
          <xdr:row>42</xdr:row>
          <xdr:rowOff>114300</xdr:rowOff>
        </xdr:to>
        <xdr:pic>
          <xdr:nvPicPr>
            <xdr:cNvPr id="38" name="Picture 37">
              <a:extLst>
                <a:ext uri="{FF2B5EF4-FFF2-40B4-BE49-F238E27FC236}">
                  <a16:creationId xmlns:a16="http://schemas.microsoft.com/office/drawing/2014/main" id="{2B907BC1-1313-48BB-884C-275111085A76}"/>
                </a:ext>
              </a:extLst>
            </xdr:cNvPr>
            <xdr:cNvPicPr>
              <a:picLocks noChangeAspect="1" noChangeArrowheads="1"/>
              <a:extLst>
                <a:ext uri="{84589F7E-364E-4C9E-8A38-B11213B215E9}">
                  <a14:cameraTool cellRange="AuxPlan!$D$70" spid="_x0000_s354987"/>
                </a:ext>
              </a:extLst>
            </xdr:cNvPicPr>
          </xdr:nvPicPr>
          <xdr:blipFill>
            <a:blip xmlns:r="http://schemas.openxmlformats.org/officeDocument/2006/relationships" r:embed="rId3"/>
            <a:srcRect/>
            <a:stretch>
              <a:fillRect/>
            </a:stretch>
          </xdr:blipFill>
          <xdr:spPr bwMode="auto">
            <a:xfrm>
              <a:off x="7139940" y="9159240"/>
              <a:ext cx="1859280" cy="259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9</xdr:row>
          <xdr:rowOff>91440</xdr:rowOff>
        </xdr:from>
        <xdr:to>
          <xdr:col>24</xdr:col>
          <xdr:colOff>312420</xdr:colOff>
          <xdr:row>10</xdr:row>
          <xdr:rowOff>99060</xdr:rowOff>
        </xdr:to>
        <xdr:pic>
          <xdr:nvPicPr>
            <xdr:cNvPr id="40" name="Picture 39">
              <a:extLst>
                <a:ext uri="{FF2B5EF4-FFF2-40B4-BE49-F238E27FC236}">
                  <a16:creationId xmlns:a16="http://schemas.microsoft.com/office/drawing/2014/main" id="{BF8A7288-9ADF-452E-A128-5A482FCDBDDA}"/>
                </a:ext>
              </a:extLst>
            </xdr:cNvPr>
            <xdr:cNvPicPr>
              <a:picLocks noChangeAspect="1" noChangeArrowheads="1"/>
              <a:extLst>
                <a:ext uri="{84589F7E-364E-4C9E-8A38-B11213B215E9}">
                  <a14:cameraTool cellRange="AuxPlan!$D$67" spid="_x0000_s354988"/>
                </a:ext>
              </a:extLst>
            </xdr:cNvPicPr>
          </xdr:nvPicPr>
          <xdr:blipFill>
            <a:blip xmlns:r="http://schemas.openxmlformats.org/officeDocument/2006/relationships" r:embed="rId4"/>
            <a:srcRect/>
            <a:stretch>
              <a:fillRect/>
            </a:stretch>
          </xdr:blipFill>
          <xdr:spPr bwMode="auto">
            <a:xfrm>
              <a:off x="13845540" y="1097280"/>
              <a:ext cx="1859280" cy="25908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17</xdr:col>
      <xdr:colOff>7620</xdr:colOff>
      <xdr:row>24</xdr:row>
      <xdr:rowOff>91440</xdr:rowOff>
    </xdr:from>
    <xdr:to>
      <xdr:col>22</xdr:col>
      <xdr:colOff>0</xdr:colOff>
      <xdr:row>26</xdr:row>
      <xdr:rowOff>228600</xdr:rowOff>
    </xdr:to>
    <xdr:sp macro="" textlink="">
      <xdr:nvSpPr>
        <xdr:cNvPr id="42" name="Rectangle 41">
          <a:extLst>
            <a:ext uri="{FF2B5EF4-FFF2-40B4-BE49-F238E27FC236}">
              <a16:creationId xmlns:a16="http://schemas.microsoft.com/office/drawing/2014/main" id="{91BF0181-9282-4BCA-9A8B-199AF11EC816}"/>
            </a:ext>
          </a:extLst>
        </xdr:cNvPr>
        <xdr:cNvSpPr/>
      </xdr:nvSpPr>
      <xdr:spPr>
        <a:xfrm>
          <a:off x="13677900" y="4869180"/>
          <a:ext cx="1348740" cy="64008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18</xdr:col>
      <xdr:colOff>0</xdr:colOff>
      <xdr:row>24</xdr:row>
      <xdr:rowOff>114300</xdr:rowOff>
    </xdr:from>
    <xdr:ext cx="1352550" cy="248851"/>
    <xdr:sp macro="" textlink="Lan!F117">
      <xdr:nvSpPr>
        <xdr:cNvPr id="44" name="TextBox 43">
          <a:extLst>
            <a:ext uri="{FF2B5EF4-FFF2-40B4-BE49-F238E27FC236}">
              <a16:creationId xmlns:a16="http://schemas.microsoft.com/office/drawing/2014/main" id="{87B11F66-AF85-4A46-9DE4-42674E00CB22}"/>
            </a:ext>
          </a:extLst>
        </xdr:cNvPr>
        <xdr:cNvSpPr txBox="1"/>
      </xdr:nvSpPr>
      <xdr:spPr>
        <a:xfrm>
          <a:off x="13249275" y="7477125"/>
          <a:ext cx="135255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4920768-3499-4210-864B-087F5D59D8B4}" type="TxLink">
            <a:rPr lang="en-US" sz="1000" b="0" i="0" u="none" strike="noStrike">
              <a:solidFill>
                <a:schemeClr val="tx1">
                  <a:lumMod val="65000"/>
                  <a:lumOff val="35000"/>
                </a:schemeClr>
              </a:solidFill>
              <a:latin typeface="CALIBRI"/>
              <a:cs typeface="CALIBRI"/>
            </a:rPr>
            <a:pPr algn="ctr"/>
            <a:t>Progreso promedio</a:t>
          </a:fld>
          <a:endParaRPr lang="fr-CA" sz="1100">
            <a:solidFill>
              <a:schemeClr val="tx1">
                <a:lumMod val="65000"/>
                <a:lumOff val="35000"/>
              </a:schemeClr>
            </a:solidFill>
          </a:endParaRPr>
        </a:p>
      </xdr:txBody>
    </xdr:sp>
    <xdr:clientData/>
  </xdr:oneCellAnchor>
  <mc:AlternateContent xmlns:mc="http://schemas.openxmlformats.org/markup-compatibility/2006">
    <mc:Choice xmlns:a14="http://schemas.microsoft.com/office/drawing/2010/main" Requires="a14">
      <xdr:twoCellAnchor editAs="oneCell">
        <xdr:from>
          <xdr:col>18</xdr:col>
          <xdr:colOff>167640</xdr:colOff>
          <xdr:row>25</xdr:row>
          <xdr:rowOff>121920</xdr:rowOff>
        </xdr:from>
        <xdr:to>
          <xdr:col>24</xdr:col>
          <xdr:colOff>327660</xdr:colOff>
          <xdr:row>26</xdr:row>
          <xdr:rowOff>129540</xdr:rowOff>
        </xdr:to>
        <xdr:pic>
          <xdr:nvPicPr>
            <xdr:cNvPr id="46" name="Picture 45">
              <a:extLst>
                <a:ext uri="{FF2B5EF4-FFF2-40B4-BE49-F238E27FC236}">
                  <a16:creationId xmlns:a16="http://schemas.microsoft.com/office/drawing/2014/main" id="{02D8F22C-A9C9-49F9-92DB-4E5E992C429B}"/>
                </a:ext>
              </a:extLst>
            </xdr:cNvPr>
            <xdr:cNvPicPr>
              <a:picLocks noChangeAspect="1" noChangeArrowheads="1"/>
              <a:extLst>
                <a:ext uri="{84589F7E-364E-4C9E-8A38-B11213B215E9}">
                  <a14:cameraTool cellRange="AuxPlan!$D$69" spid="_x0000_s354989"/>
                </a:ext>
              </a:extLst>
            </xdr:cNvPicPr>
          </xdr:nvPicPr>
          <xdr:blipFill>
            <a:blip xmlns:r="http://schemas.openxmlformats.org/officeDocument/2006/relationships" r:embed="rId5"/>
            <a:srcRect/>
            <a:stretch>
              <a:fillRect/>
            </a:stretch>
          </xdr:blipFill>
          <xdr:spPr bwMode="auto">
            <a:xfrm>
              <a:off x="13860780" y="5151120"/>
              <a:ext cx="1859280" cy="25908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18</xdr:col>
      <xdr:colOff>106680</xdr:colOff>
      <xdr:row>25</xdr:row>
      <xdr:rowOff>91440</xdr:rowOff>
    </xdr:from>
    <xdr:ext cx="1135380" cy="342786"/>
    <xdr:sp macro="" textlink="AuxPlan!C69">
      <xdr:nvSpPr>
        <xdr:cNvPr id="48" name="TextBox 47">
          <a:extLst>
            <a:ext uri="{FF2B5EF4-FFF2-40B4-BE49-F238E27FC236}">
              <a16:creationId xmlns:a16="http://schemas.microsoft.com/office/drawing/2014/main" id="{9E19E021-A0A7-4BC4-94F7-B7A0730DE861}"/>
            </a:ext>
          </a:extLst>
        </xdr:cNvPr>
        <xdr:cNvSpPr txBox="1"/>
      </xdr:nvSpPr>
      <xdr:spPr>
        <a:xfrm>
          <a:off x="13799820" y="5120640"/>
          <a:ext cx="11353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490C7273-4318-410C-8582-8E4EB2843BD0}" type="TxLink">
            <a:rPr lang="en-US" sz="1600" b="0" i="0" u="none" strike="noStrike">
              <a:solidFill>
                <a:schemeClr val="tx1">
                  <a:lumMod val="65000"/>
                  <a:lumOff val="35000"/>
                </a:schemeClr>
              </a:solidFill>
              <a:latin typeface="CALIBRI"/>
              <a:cs typeface="CALIBRI"/>
            </a:rPr>
            <a:pPr algn="ctr"/>
            <a:t>0%</a:t>
          </a:fld>
          <a:endParaRPr lang="fr-CA" sz="1600">
            <a:solidFill>
              <a:schemeClr val="tx1">
                <a:lumMod val="65000"/>
                <a:lumOff val="35000"/>
              </a:schemeClr>
            </a:solidFill>
          </a:endParaRPr>
        </a:p>
      </xdr:txBody>
    </xdr:sp>
    <xdr:clientData/>
  </xdr:oneCellAnchor>
  <xdr:twoCellAnchor>
    <xdr:from>
      <xdr:col>17</xdr:col>
      <xdr:colOff>7620</xdr:colOff>
      <xdr:row>40</xdr:row>
      <xdr:rowOff>91440</xdr:rowOff>
    </xdr:from>
    <xdr:to>
      <xdr:col>22</xdr:col>
      <xdr:colOff>0</xdr:colOff>
      <xdr:row>42</xdr:row>
      <xdr:rowOff>228600</xdr:rowOff>
    </xdr:to>
    <xdr:sp macro="" textlink="">
      <xdr:nvSpPr>
        <xdr:cNvPr id="51" name="Rectangle 50">
          <a:extLst>
            <a:ext uri="{FF2B5EF4-FFF2-40B4-BE49-F238E27FC236}">
              <a16:creationId xmlns:a16="http://schemas.microsoft.com/office/drawing/2014/main" id="{C093BFC5-98E7-4031-80B4-168011CD47AA}"/>
            </a:ext>
          </a:extLst>
        </xdr:cNvPr>
        <xdr:cNvSpPr/>
      </xdr:nvSpPr>
      <xdr:spPr>
        <a:xfrm>
          <a:off x="13677900" y="8892540"/>
          <a:ext cx="1348740" cy="64008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18</xdr:col>
      <xdr:colOff>19049</xdr:colOff>
      <xdr:row>40</xdr:row>
      <xdr:rowOff>114300</xdr:rowOff>
    </xdr:from>
    <xdr:ext cx="1323975" cy="248851"/>
    <xdr:sp macro="" textlink="Lan!F117">
      <xdr:nvSpPr>
        <xdr:cNvPr id="52" name="TextBox 51">
          <a:extLst>
            <a:ext uri="{FF2B5EF4-FFF2-40B4-BE49-F238E27FC236}">
              <a16:creationId xmlns:a16="http://schemas.microsoft.com/office/drawing/2014/main" id="{3CC3304D-BCD3-436C-BD8A-FAF9C417E237}"/>
            </a:ext>
          </a:extLst>
        </xdr:cNvPr>
        <xdr:cNvSpPr txBox="1"/>
      </xdr:nvSpPr>
      <xdr:spPr>
        <a:xfrm>
          <a:off x="13268324" y="12582525"/>
          <a:ext cx="1323975"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4920768-3499-4210-864B-087F5D59D8B4}" type="TxLink">
            <a:rPr lang="en-US" sz="1000" b="0" i="0" u="none" strike="noStrike">
              <a:solidFill>
                <a:schemeClr val="tx1">
                  <a:lumMod val="65000"/>
                  <a:lumOff val="35000"/>
                </a:schemeClr>
              </a:solidFill>
              <a:latin typeface="CALIBRI"/>
              <a:cs typeface="CALIBRI"/>
            </a:rPr>
            <a:pPr algn="ctr"/>
            <a:t>Progreso promedio</a:t>
          </a:fld>
          <a:endParaRPr lang="fr-CA" sz="1100">
            <a:solidFill>
              <a:schemeClr val="tx1">
                <a:lumMod val="65000"/>
                <a:lumOff val="35000"/>
              </a:schemeClr>
            </a:solidFill>
          </a:endParaRPr>
        </a:p>
      </xdr:txBody>
    </xdr:sp>
    <xdr:clientData/>
  </xdr:oneCellAnchor>
  <mc:AlternateContent xmlns:mc="http://schemas.openxmlformats.org/markup-compatibility/2006">
    <mc:Choice xmlns:a14="http://schemas.microsoft.com/office/drawing/2010/main" Requires="a14">
      <xdr:twoCellAnchor editAs="oneCell">
        <xdr:from>
          <xdr:col>18</xdr:col>
          <xdr:colOff>182880</xdr:colOff>
          <xdr:row>41</xdr:row>
          <xdr:rowOff>121920</xdr:rowOff>
        </xdr:from>
        <xdr:to>
          <xdr:col>24</xdr:col>
          <xdr:colOff>342900</xdr:colOff>
          <xdr:row>42</xdr:row>
          <xdr:rowOff>129540</xdr:rowOff>
        </xdr:to>
        <xdr:pic>
          <xdr:nvPicPr>
            <xdr:cNvPr id="53" name="Picture 52">
              <a:extLst>
                <a:ext uri="{FF2B5EF4-FFF2-40B4-BE49-F238E27FC236}">
                  <a16:creationId xmlns:a16="http://schemas.microsoft.com/office/drawing/2014/main" id="{6CD4D89C-A4AC-4593-8C33-7AC2EF65F343}"/>
                </a:ext>
              </a:extLst>
            </xdr:cNvPr>
            <xdr:cNvPicPr>
              <a:picLocks noChangeAspect="1" noChangeArrowheads="1"/>
              <a:extLst>
                <a:ext uri="{84589F7E-364E-4C9E-8A38-B11213B215E9}">
                  <a14:cameraTool cellRange="AuxPlan!$D$71" spid="_x0000_s354990"/>
                </a:ext>
              </a:extLst>
            </xdr:cNvPicPr>
          </xdr:nvPicPr>
          <xdr:blipFill>
            <a:blip xmlns:r="http://schemas.openxmlformats.org/officeDocument/2006/relationships" r:embed="rId6"/>
            <a:srcRect/>
            <a:stretch>
              <a:fillRect/>
            </a:stretch>
          </xdr:blipFill>
          <xdr:spPr bwMode="auto">
            <a:xfrm>
              <a:off x="13876020" y="9174480"/>
              <a:ext cx="1859280" cy="25908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18</xdr:col>
      <xdr:colOff>106680</xdr:colOff>
      <xdr:row>41</xdr:row>
      <xdr:rowOff>114300</xdr:rowOff>
    </xdr:from>
    <xdr:ext cx="1135380" cy="311496"/>
    <xdr:sp macro="" textlink="AuxPlan!C71">
      <xdr:nvSpPr>
        <xdr:cNvPr id="54" name="TextBox 53">
          <a:extLst>
            <a:ext uri="{FF2B5EF4-FFF2-40B4-BE49-F238E27FC236}">
              <a16:creationId xmlns:a16="http://schemas.microsoft.com/office/drawing/2014/main" id="{9F528A40-2DD3-44A9-99D2-D616561F2B21}"/>
            </a:ext>
          </a:extLst>
        </xdr:cNvPr>
        <xdr:cNvSpPr txBox="1"/>
      </xdr:nvSpPr>
      <xdr:spPr>
        <a:xfrm>
          <a:off x="13799820" y="9166860"/>
          <a:ext cx="113538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D5FF73B6-58CE-4B5B-BF34-277D6A4D9018}" type="TxLink">
            <a:rPr lang="en-US" sz="1400" b="0" i="0" u="none" strike="noStrike">
              <a:solidFill>
                <a:schemeClr val="tx1">
                  <a:lumMod val="65000"/>
                  <a:lumOff val="35000"/>
                </a:schemeClr>
              </a:solidFill>
              <a:latin typeface="CALIBRI"/>
              <a:cs typeface="CALIBRI"/>
            </a:rPr>
            <a:pPr algn="ctr"/>
            <a:t>0%</a:t>
          </a:fld>
          <a:endParaRPr lang="fr-CA" sz="1400">
            <a:solidFill>
              <a:schemeClr val="tx1">
                <a:lumMod val="65000"/>
                <a:lumOff val="35000"/>
              </a:schemeClr>
            </a:solidFill>
          </a:endParaRPr>
        </a:p>
      </xdr:txBody>
    </xdr:sp>
    <xdr:clientData/>
  </xdr:oneCellAnchor>
  <xdr:twoCellAnchor editAs="absolute">
    <xdr:from>
      <xdr:col>1</xdr:col>
      <xdr:colOff>1943100</xdr:colOff>
      <xdr:row>0</xdr:row>
      <xdr:rowOff>0</xdr:rowOff>
    </xdr:from>
    <xdr:to>
      <xdr:col>3</xdr:col>
      <xdr:colOff>240324</xdr:colOff>
      <xdr:row>0</xdr:row>
      <xdr:rowOff>493258</xdr:rowOff>
    </xdr:to>
    <xdr:sp macro="" textlink="Lan!F11">
      <xdr:nvSpPr>
        <xdr:cNvPr id="27" name="TextBox 3">
          <a:hlinkClick xmlns:r="http://schemas.openxmlformats.org/officeDocument/2006/relationships" r:id="rId7"/>
          <a:extLst>
            <a:ext uri="{FF2B5EF4-FFF2-40B4-BE49-F238E27FC236}">
              <a16:creationId xmlns:a16="http://schemas.microsoft.com/office/drawing/2014/main" id="{B2C27739-E183-425F-AB11-64343F4FB1D2}"/>
            </a:ext>
          </a:extLst>
        </xdr:cNvPr>
        <xdr:cNvSpPr txBox="1"/>
      </xdr:nvSpPr>
      <xdr:spPr>
        <a:xfrm>
          <a:off x="2124075"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3</xdr:col>
      <xdr:colOff>291612</xdr:colOff>
      <xdr:row>0</xdr:row>
      <xdr:rowOff>0</xdr:rowOff>
    </xdr:from>
    <xdr:to>
      <xdr:col>7</xdr:col>
      <xdr:colOff>370010</xdr:colOff>
      <xdr:row>0</xdr:row>
      <xdr:rowOff>493258</xdr:rowOff>
    </xdr:to>
    <xdr:sp macro="" textlink="Lan!F29">
      <xdr:nvSpPr>
        <xdr:cNvPr id="31" name="TextBox 3">
          <a:hlinkClick xmlns:r="http://schemas.openxmlformats.org/officeDocument/2006/relationships" r:id="rId8"/>
          <a:extLst>
            <a:ext uri="{FF2B5EF4-FFF2-40B4-BE49-F238E27FC236}">
              <a16:creationId xmlns:a16="http://schemas.microsoft.com/office/drawing/2014/main" id="{E655E341-C84E-4407-A733-0EBCD2199CCD}"/>
            </a:ext>
          </a:extLst>
        </xdr:cNvPr>
        <xdr:cNvSpPr txBox="1"/>
      </xdr:nvSpPr>
      <xdr:spPr>
        <a:xfrm>
          <a:off x="4034937" y="0"/>
          <a:ext cx="2240573"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7</xdr:col>
      <xdr:colOff>415895</xdr:colOff>
      <xdr:row>0</xdr:row>
      <xdr:rowOff>0</xdr:rowOff>
    </xdr:from>
    <xdr:to>
      <xdr:col>12</xdr:col>
      <xdr:colOff>588352</xdr:colOff>
      <xdr:row>0</xdr:row>
      <xdr:rowOff>493258</xdr:rowOff>
    </xdr:to>
    <xdr:sp macro="" textlink="Lan!F83">
      <xdr:nvSpPr>
        <xdr:cNvPr id="33" name="TextBox 3">
          <a:hlinkClick xmlns:r="http://schemas.openxmlformats.org/officeDocument/2006/relationships" r:id="rId9"/>
          <a:extLst>
            <a:ext uri="{FF2B5EF4-FFF2-40B4-BE49-F238E27FC236}">
              <a16:creationId xmlns:a16="http://schemas.microsoft.com/office/drawing/2014/main" id="{EE8C7F10-7C4E-4C71-B174-44294B679209}"/>
            </a:ext>
          </a:extLst>
        </xdr:cNvPr>
        <xdr:cNvSpPr txBox="1"/>
      </xdr:nvSpPr>
      <xdr:spPr>
        <a:xfrm>
          <a:off x="6321395" y="0"/>
          <a:ext cx="1791707" cy="493258"/>
        </a:xfrm>
        <a:prstGeom prst="rect">
          <a:avLst/>
        </a:prstGeom>
        <a:solidFill>
          <a:srgbClr val="07214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12</xdr:col>
      <xdr:colOff>631761</xdr:colOff>
      <xdr:row>0</xdr:row>
      <xdr:rowOff>0</xdr:rowOff>
    </xdr:from>
    <xdr:to>
      <xdr:col>12</xdr:col>
      <xdr:colOff>2623768</xdr:colOff>
      <xdr:row>0</xdr:row>
      <xdr:rowOff>493258</xdr:rowOff>
    </xdr:to>
    <xdr:sp macro="" textlink="Lan!F86">
      <xdr:nvSpPr>
        <xdr:cNvPr id="37" name="TextBox 3">
          <a:hlinkClick xmlns:r="http://schemas.openxmlformats.org/officeDocument/2006/relationships" r:id="rId10"/>
          <a:extLst>
            <a:ext uri="{FF2B5EF4-FFF2-40B4-BE49-F238E27FC236}">
              <a16:creationId xmlns:a16="http://schemas.microsoft.com/office/drawing/2014/main" id="{5522A386-6CA2-4C7E-B806-ED7FC0D8A30B}"/>
            </a:ext>
          </a:extLst>
        </xdr:cNvPr>
        <xdr:cNvSpPr txBox="1"/>
      </xdr:nvSpPr>
      <xdr:spPr>
        <a:xfrm>
          <a:off x="8156511"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1943100</xdr:colOff>
      <xdr:row>0</xdr:row>
      <xdr:rowOff>0</xdr:rowOff>
    </xdr:from>
    <xdr:to>
      <xdr:col>1</xdr:col>
      <xdr:colOff>2441331</xdr:colOff>
      <xdr:row>0</xdr:row>
      <xdr:rowOff>481496</xdr:rowOff>
    </xdr:to>
    <xdr:pic>
      <xdr:nvPicPr>
        <xdr:cNvPr id="39" name="Imagen 38" descr="Settings Icon of Flat style - Available in SVG, PNG, EPS, AI &amp; Icon fonts">
          <a:hlinkClick xmlns:r="http://schemas.openxmlformats.org/officeDocument/2006/relationships" r:id="rId7"/>
          <a:extLst>
            <a:ext uri="{FF2B5EF4-FFF2-40B4-BE49-F238E27FC236}">
              <a16:creationId xmlns:a16="http://schemas.microsoft.com/office/drawing/2014/main" id="{C94523DA-182C-4A4E-8AF5-96C090B02364}"/>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555" r="8739" b="1493"/>
        <a:stretch/>
      </xdr:blipFill>
      <xdr:spPr bwMode="auto">
        <a:xfrm>
          <a:off x="2124075"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313593</xdr:colOff>
      <xdr:row>0</xdr:row>
      <xdr:rowOff>14654</xdr:rowOff>
    </xdr:from>
    <xdr:to>
      <xdr:col>4</xdr:col>
      <xdr:colOff>68139</xdr:colOff>
      <xdr:row>0</xdr:row>
      <xdr:rowOff>485740</xdr:rowOff>
    </xdr:to>
    <xdr:pic>
      <xdr:nvPicPr>
        <xdr:cNvPr id="41" name="Imagen 40" descr="Strategy Clipart Icon Web Icons Png - Strategy Icon Png Transparent Png -  Full Size Clipart (#137502) - PinClipart">
          <a:hlinkClick xmlns:r="http://schemas.openxmlformats.org/officeDocument/2006/relationships" r:id="rId8"/>
          <a:extLst>
            <a:ext uri="{FF2B5EF4-FFF2-40B4-BE49-F238E27FC236}">
              <a16:creationId xmlns:a16="http://schemas.microsoft.com/office/drawing/2014/main" id="{AE472146-1904-43B8-8D2B-CE972B93C98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056918"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435952</xdr:colOff>
      <xdr:row>0</xdr:row>
      <xdr:rowOff>0</xdr:rowOff>
    </xdr:from>
    <xdr:to>
      <xdr:col>9</xdr:col>
      <xdr:colOff>98180</xdr:colOff>
      <xdr:row>0</xdr:row>
      <xdr:rowOff>476812</xdr:rowOff>
    </xdr:to>
    <xdr:pic>
      <xdr:nvPicPr>
        <xdr:cNvPr id="43" name="Imagen 42" descr="report - Image Storage - Reedsburg, Wisconsin">
          <a:hlinkClick xmlns:r="http://schemas.openxmlformats.org/officeDocument/2006/relationships" r:id="rId9"/>
          <a:extLst>
            <a:ext uri="{FF2B5EF4-FFF2-40B4-BE49-F238E27FC236}">
              <a16:creationId xmlns:a16="http://schemas.microsoft.com/office/drawing/2014/main" id="{17A67536-C27E-49AF-9E19-AD9D73A14ED8}"/>
            </a:ext>
          </a:extLst>
        </xdr:cNvPr>
        <xdr:cNvPicPr>
          <a:picLocks noChangeAspect="1" noChangeArrowheads="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341452"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12</xdr:col>
      <xdr:colOff>646965</xdr:colOff>
      <xdr:row>0</xdr:row>
      <xdr:rowOff>14654</xdr:rowOff>
    </xdr:from>
    <xdr:to>
      <xdr:col>12</xdr:col>
      <xdr:colOff>1225792</xdr:colOff>
      <xdr:row>0</xdr:row>
      <xdr:rowOff>492340</xdr:rowOff>
    </xdr:to>
    <xdr:pic>
      <xdr:nvPicPr>
        <xdr:cNvPr id="45" name="Imagen 44" descr="Dashboards Icon #145224 - Free Icons Library">
          <a:hlinkClick xmlns:r="http://schemas.openxmlformats.org/officeDocument/2006/relationships" r:id="rId10"/>
          <a:extLst>
            <a:ext uri="{FF2B5EF4-FFF2-40B4-BE49-F238E27FC236}">
              <a16:creationId xmlns:a16="http://schemas.microsoft.com/office/drawing/2014/main" id="{DABD97D5-E1C8-4C80-83F2-B3CD44916AA9}"/>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8650" b="8922"/>
        <a:stretch/>
      </xdr:blipFill>
      <xdr:spPr bwMode="auto">
        <a:xfrm>
          <a:off x="8171715"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2828925</xdr:colOff>
      <xdr:row>1</xdr:row>
      <xdr:rowOff>9525</xdr:rowOff>
    </xdr:from>
    <xdr:to>
      <xdr:col>4</xdr:col>
      <xdr:colOff>415943</xdr:colOff>
      <xdr:row>1</xdr:row>
      <xdr:rowOff>312084</xdr:rowOff>
    </xdr:to>
    <xdr:sp macro="" textlink="Lan!$F$84">
      <xdr:nvSpPr>
        <xdr:cNvPr id="47" name="Rectángulo 46">
          <a:hlinkClick xmlns:r="http://schemas.openxmlformats.org/officeDocument/2006/relationships" r:id="rId9"/>
          <a:extLst>
            <a:ext uri="{FF2B5EF4-FFF2-40B4-BE49-F238E27FC236}">
              <a16:creationId xmlns:a16="http://schemas.microsoft.com/office/drawing/2014/main" id="{1A7C0FF3-3A12-4CC0-B86A-74DA0CEBBB8D}"/>
            </a:ext>
          </a:extLst>
        </xdr:cNvPr>
        <xdr:cNvSpPr/>
      </xdr:nvSpPr>
      <xdr:spPr>
        <a:xfrm>
          <a:off x="3009900" y="504825"/>
          <a:ext cx="1863743"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0FD622D-4321-4EBD-9929-53F5B37E1364}" type="TxLink">
            <a:rPr lang="en-US" sz="1100" b="1" i="0" u="none" strike="noStrike">
              <a:solidFill>
                <a:schemeClr val="bg1"/>
              </a:solidFill>
              <a:latin typeface="CALIBRI"/>
              <a:cs typeface="CALIBRI"/>
            </a:rPr>
            <a:pPr algn="ctr"/>
            <a:t>3.1. Informe Plan Estratégico</a:t>
          </a:fld>
          <a:endParaRPr lang="en-US" sz="2400" b="1">
            <a:solidFill>
              <a:schemeClr val="bg1"/>
            </a:solidFill>
          </a:endParaRPr>
        </a:p>
      </xdr:txBody>
    </xdr:sp>
    <xdr:clientData/>
  </xdr:twoCellAnchor>
  <xdr:twoCellAnchor>
    <xdr:from>
      <xdr:col>4</xdr:col>
      <xdr:colOff>419100</xdr:colOff>
      <xdr:row>1</xdr:row>
      <xdr:rowOff>9525</xdr:rowOff>
    </xdr:from>
    <xdr:to>
      <xdr:col>9</xdr:col>
      <xdr:colOff>135413</xdr:colOff>
      <xdr:row>1</xdr:row>
      <xdr:rowOff>312084</xdr:rowOff>
    </xdr:to>
    <xdr:sp macro="" textlink="Lan!$F$85">
      <xdr:nvSpPr>
        <xdr:cNvPr id="49" name="Rectángulo 48">
          <a:hlinkClick xmlns:r="http://schemas.openxmlformats.org/officeDocument/2006/relationships" r:id="rId16"/>
          <a:extLst>
            <a:ext uri="{FF2B5EF4-FFF2-40B4-BE49-F238E27FC236}">
              <a16:creationId xmlns:a16="http://schemas.microsoft.com/office/drawing/2014/main" id="{D738EE9B-20EE-4298-85CD-E1190C9E95CC}"/>
            </a:ext>
          </a:extLst>
        </xdr:cNvPr>
        <xdr:cNvSpPr/>
      </xdr:nvSpPr>
      <xdr:spPr>
        <a:xfrm>
          <a:off x="4876800" y="504825"/>
          <a:ext cx="1897538"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462CA03-311C-4E72-B545-D676AA63C566}" type="TxLink">
            <a:rPr lang="en-US" sz="1100" b="1" i="0" u="none" strike="noStrike">
              <a:solidFill>
                <a:schemeClr val="tx1"/>
              </a:solidFill>
              <a:latin typeface="CALIBRI"/>
              <a:cs typeface="CALIBRI"/>
            </a:rPr>
            <a:pPr algn="ctr"/>
            <a:t>3.2. Informe Plan de Acción</a:t>
          </a:fld>
          <a:endParaRPr lang="en-US" sz="1100" b="1">
            <a:solidFill>
              <a:schemeClr val="tx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739140</xdr:colOff>
      <xdr:row>5</xdr:row>
      <xdr:rowOff>220980</xdr:rowOff>
    </xdr:from>
    <xdr:to>
      <xdr:col>15</xdr:col>
      <xdr:colOff>464820</xdr:colOff>
      <xdr:row>10</xdr:row>
      <xdr:rowOff>53340</xdr:rowOff>
    </xdr:to>
    <xdr:graphicFrame macro="">
      <xdr:nvGraphicFramePr>
        <xdr:cNvPr id="13" name="Chart 12">
          <a:extLst>
            <a:ext uri="{FF2B5EF4-FFF2-40B4-BE49-F238E27FC236}">
              <a16:creationId xmlns:a16="http://schemas.microsoft.com/office/drawing/2014/main" id="{29A2CC1E-F4CD-44A0-A835-645759634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137160</xdr:colOff>
      <xdr:row>21</xdr:row>
      <xdr:rowOff>76200</xdr:rowOff>
    </xdr:from>
    <xdr:to>
      <xdr:col>3</xdr:col>
      <xdr:colOff>541020</xdr:colOff>
      <xdr:row>22</xdr:row>
      <xdr:rowOff>228600</xdr:rowOff>
    </xdr:to>
    <xdr:sp macro="" textlink="">
      <xdr:nvSpPr>
        <xdr:cNvPr id="18" name="Oval 17">
          <a:extLst>
            <a:ext uri="{FF2B5EF4-FFF2-40B4-BE49-F238E27FC236}">
              <a16:creationId xmlns:a16="http://schemas.microsoft.com/office/drawing/2014/main" id="{491620DD-016C-43C1-9463-A83F1E494768}"/>
            </a:ext>
          </a:extLst>
        </xdr:cNvPr>
        <xdr:cNvSpPr/>
      </xdr:nvSpPr>
      <xdr:spPr>
        <a:xfrm>
          <a:off x="3672840" y="3688080"/>
          <a:ext cx="403860" cy="403860"/>
        </a:xfrm>
        <a:prstGeom prst="ellipse">
          <a:avLst/>
        </a:prstGeom>
        <a:solidFill>
          <a:srgbClr val="F7F7F7"/>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335280</xdr:colOff>
      <xdr:row>21</xdr:row>
      <xdr:rowOff>129540</xdr:rowOff>
    </xdr:from>
    <xdr:to>
      <xdr:col>3</xdr:col>
      <xdr:colOff>335280</xdr:colOff>
      <xdr:row>22</xdr:row>
      <xdr:rowOff>152400</xdr:rowOff>
    </xdr:to>
    <xdr:cxnSp macro="">
      <xdr:nvCxnSpPr>
        <xdr:cNvPr id="16" name="Straight Arrow Connector 15">
          <a:extLst>
            <a:ext uri="{FF2B5EF4-FFF2-40B4-BE49-F238E27FC236}">
              <a16:creationId xmlns:a16="http://schemas.microsoft.com/office/drawing/2014/main" id="{75D75776-5FA4-4F80-A974-47F15FF7D660}"/>
            </a:ext>
          </a:extLst>
        </xdr:cNvPr>
        <xdr:cNvCxnSpPr/>
      </xdr:nvCxnSpPr>
      <xdr:spPr>
        <a:xfrm flipV="1">
          <a:off x="3870960" y="3741420"/>
          <a:ext cx="0" cy="274320"/>
        </a:xfrm>
        <a:prstGeom prst="straightConnector1">
          <a:avLst/>
        </a:prstGeom>
        <a:ln w="38100">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137160</xdr:colOff>
      <xdr:row>21</xdr:row>
      <xdr:rowOff>76200</xdr:rowOff>
    </xdr:from>
    <xdr:to>
      <xdr:col>6</xdr:col>
      <xdr:colOff>541020</xdr:colOff>
      <xdr:row>22</xdr:row>
      <xdr:rowOff>228600</xdr:rowOff>
    </xdr:to>
    <xdr:sp macro="" textlink="">
      <xdr:nvSpPr>
        <xdr:cNvPr id="19" name="Oval 18">
          <a:extLst>
            <a:ext uri="{FF2B5EF4-FFF2-40B4-BE49-F238E27FC236}">
              <a16:creationId xmlns:a16="http://schemas.microsoft.com/office/drawing/2014/main" id="{B1B3A80C-FF2D-400F-9252-E368B50B1FF2}"/>
            </a:ext>
          </a:extLst>
        </xdr:cNvPr>
        <xdr:cNvSpPr/>
      </xdr:nvSpPr>
      <xdr:spPr>
        <a:xfrm>
          <a:off x="3672840" y="3688080"/>
          <a:ext cx="403860" cy="403860"/>
        </a:xfrm>
        <a:prstGeom prst="ellipse">
          <a:avLst/>
        </a:prstGeom>
        <a:solidFill>
          <a:srgbClr val="F7F7F7"/>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327660</xdr:colOff>
      <xdr:row>21</xdr:row>
      <xdr:rowOff>144780</xdr:rowOff>
    </xdr:from>
    <xdr:to>
      <xdr:col>6</xdr:col>
      <xdr:colOff>327660</xdr:colOff>
      <xdr:row>22</xdr:row>
      <xdr:rowOff>182880</xdr:rowOff>
    </xdr:to>
    <xdr:cxnSp macro="">
      <xdr:nvCxnSpPr>
        <xdr:cNvPr id="20" name="Straight Arrow Connector 19">
          <a:extLst>
            <a:ext uri="{FF2B5EF4-FFF2-40B4-BE49-F238E27FC236}">
              <a16:creationId xmlns:a16="http://schemas.microsoft.com/office/drawing/2014/main" id="{10AC30F6-01E6-4624-8A72-DC0ABE46D1A0}"/>
            </a:ext>
          </a:extLst>
        </xdr:cNvPr>
        <xdr:cNvCxnSpPr/>
      </xdr:nvCxnSpPr>
      <xdr:spPr>
        <a:xfrm>
          <a:off x="6332220" y="3756660"/>
          <a:ext cx="0" cy="289560"/>
        </a:xfrm>
        <a:prstGeom prst="straightConnector1">
          <a:avLst/>
        </a:prstGeom>
        <a:ln w="38100">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23</xdr:row>
      <xdr:rowOff>110490</xdr:rowOff>
    </xdr:from>
    <xdr:to>
      <xdr:col>4</xdr:col>
      <xdr:colOff>293370</xdr:colOff>
      <xdr:row>30</xdr:row>
      <xdr:rowOff>213360</xdr:rowOff>
    </xdr:to>
    <xdr:graphicFrame macro="">
      <xdr:nvGraphicFramePr>
        <xdr:cNvPr id="24" name="Chart 23">
          <a:extLst>
            <a:ext uri="{FF2B5EF4-FFF2-40B4-BE49-F238E27FC236}">
              <a16:creationId xmlns:a16="http://schemas.microsoft.com/office/drawing/2014/main" id="{33EB6443-EF02-4DC9-9638-502EC8F88D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487680</xdr:colOff>
      <xdr:row>23</xdr:row>
      <xdr:rowOff>99060</xdr:rowOff>
    </xdr:from>
    <xdr:to>
      <xdr:col>8</xdr:col>
      <xdr:colOff>217170</xdr:colOff>
      <xdr:row>30</xdr:row>
      <xdr:rowOff>201930</xdr:rowOff>
    </xdr:to>
    <xdr:graphicFrame macro="">
      <xdr:nvGraphicFramePr>
        <xdr:cNvPr id="25" name="Chart 24">
          <a:extLst>
            <a:ext uri="{FF2B5EF4-FFF2-40B4-BE49-F238E27FC236}">
              <a16:creationId xmlns:a16="http://schemas.microsoft.com/office/drawing/2014/main" id="{09129C5F-F123-4060-8793-237D5D134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21</xdr:row>
      <xdr:rowOff>213360</xdr:rowOff>
    </xdr:from>
    <xdr:to>
      <xdr:col>13</xdr:col>
      <xdr:colOff>792480</xdr:colOff>
      <xdr:row>31</xdr:row>
      <xdr:rowOff>7620</xdr:rowOff>
    </xdr:to>
    <xdr:graphicFrame macro="">
      <xdr:nvGraphicFramePr>
        <xdr:cNvPr id="28" name="Chart 27">
          <a:extLst>
            <a:ext uri="{FF2B5EF4-FFF2-40B4-BE49-F238E27FC236}">
              <a16:creationId xmlns:a16="http://schemas.microsoft.com/office/drawing/2014/main" id="{1EFDD5BF-6463-43F9-B5A0-C9EFBD9CD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13</xdr:col>
      <xdr:colOff>49018</xdr:colOff>
      <xdr:row>6</xdr:row>
      <xdr:rowOff>99060</xdr:rowOff>
    </xdr:from>
    <xdr:ext cx="819662" cy="374077"/>
    <xdr:sp macro="" textlink="Lan!F91">
      <xdr:nvSpPr>
        <xdr:cNvPr id="31" name="TextBox 30">
          <a:extLst>
            <a:ext uri="{FF2B5EF4-FFF2-40B4-BE49-F238E27FC236}">
              <a16:creationId xmlns:a16="http://schemas.microsoft.com/office/drawing/2014/main" id="{61C054AA-6340-4F08-85F3-3558B01F0281}"/>
            </a:ext>
          </a:extLst>
        </xdr:cNvPr>
        <xdr:cNvSpPr txBox="1"/>
      </xdr:nvSpPr>
      <xdr:spPr>
        <a:xfrm>
          <a:off x="11075158" y="350520"/>
          <a:ext cx="81966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9D9BF1FA-9A78-4A1B-B1F2-D8F08A5ABDBE}" type="TxLink">
            <a:rPr lang="en-US" sz="900" b="0" i="0" u="none" strike="noStrike">
              <a:solidFill>
                <a:schemeClr val="tx1">
                  <a:lumMod val="50000"/>
                  <a:lumOff val="50000"/>
                </a:schemeClr>
              </a:solidFill>
              <a:latin typeface="CALIBRI"/>
              <a:cs typeface="CALIBRI"/>
            </a:rPr>
            <a:pPr algn="ctr"/>
            <a:t>Días hasta la fecha límite</a:t>
          </a:fld>
          <a:endParaRPr lang="fr-CA" sz="900">
            <a:solidFill>
              <a:schemeClr val="tx1">
                <a:lumMod val="50000"/>
                <a:lumOff val="50000"/>
              </a:schemeClr>
            </a:solidFill>
          </a:endParaRPr>
        </a:p>
      </xdr:txBody>
    </xdr:sp>
    <xdr:clientData/>
  </xdr:oneCellAnchor>
  <xdr:oneCellAnchor>
    <xdr:from>
      <xdr:col>13</xdr:col>
      <xdr:colOff>182042</xdr:colOff>
      <xdr:row>7</xdr:row>
      <xdr:rowOff>114300</xdr:rowOff>
    </xdr:from>
    <xdr:ext cx="557012" cy="436723"/>
    <xdr:sp macro="" textlink="AuxDash!D5">
      <xdr:nvSpPr>
        <xdr:cNvPr id="32" name="TextBox 31">
          <a:extLst>
            <a:ext uri="{FF2B5EF4-FFF2-40B4-BE49-F238E27FC236}">
              <a16:creationId xmlns:a16="http://schemas.microsoft.com/office/drawing/2014/main" id="{6D1A169B-F28D-4515-A569-5F57C1A9D191}"/>
            </a:ext>
          </a:extLst>
        </xdr:cNvPr>
        <xdr:cNvSpPr txBox="1"/>
      </xdr:nvSpPr>
      <xdr:spPr>
        <a:xfrm>
          <a:off x="9249842" y="2038350"/>
          <a:ext cx="557012" cy="436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7DFBFA0A-B936-478F-A922-4CDAC2DA58D9}" type="TxLink">
            <a:rPr lang="en-US" sz="2200" b="0" i="0" u="none" strike="noStrike">
              <a:solidFill>
                <a:srgbClr val="000000"/>
              </a:solidFill>
              <a:latin typeface="CALIBRI"/>
              <a:cs typeface="CALIBRI"/>
            </a:rPr>
            <a:pPr algn="ctr"/>
            <a:t>353</a:t>
          </a:fld>
          <a:endParaRPr lang="fr-CA" sz="2200">
            <a:solidFill>
              <a:schemeClr val="tx1">
                <a:lumMod val="50000"/>
                <a:lumOff val="50000"/>
              </a:schemeClr>
            </a:solidFill>
          </a:endParaRPr>
        </a:p>
      </xdr:txBody>
    </xdr:sp>
    <xdr:clientData/>
  </xdr:oneCellAnchor>
  <xdr:twoCellAnchor editAs="absolute">
    <xdr:from>
      <xdr:col>2</xdr:col>
      <xdr:colOff>800100</xdr:colOff>
      <xdr:row>0</xdr:row>
      <xdr:rowOff>0</xdr:rowOff>
    </xdr:from>
    <xdr:to>
      <xdr:col>4</xdr:col>
      <xdr:colOff>697524</xdr:colOff>
      <xdr:row>0</xdr:row>
      <xdr:rowOff>493258</xdr:rowOff>
    </xdr:to>
    <xdr:sp macro="" textlink="Lan!F11">
      <xdr:nvSpPr>
        <xdr:cNvPr id="12" name="TextBox 3">
          <a:hlinkClick xmlns:r="http://schemas.openxmlformats.org/officeDocument/2006/relationships" r:id="rId5"/>
          <a:extLst>
            <a:ext uri="{FF2B5EF4-FFF2-40B4-BE49-F238E27FC236}">
              <a16:creationId xmlns:a16="http://schemas.microsoft.com/office/drawing/2014/main" id="{83E3A4F4-7A14-4DF9-9AE9-2FD686C6AFA0}"/>
            </a:ext>
          </a:extLst>
        </xdr:cNvPr>
        <xdr:cNvSpPr txBox="1"/>
      </xdr:nvSpPr>
      <xdr:spPr>
        <a:xfrm>
          <a:off x="1781175"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4</xdr:col>
      <xdr:colOff>748812</xdr:colOff>
      <xdr:row>0</xdr:row>
      <xdr:rowOff>0</xdr:rowOff>
    </xdr:from>
    <xdr:to>
      <xdr:col>7</xdr:col>
      <xdr:colOff>46160</xdr:colOff>
      <xdr:row>0</xdr:row>
      <xdr:rowOff>493258</xdr:rowOff>
    </xdr:to>
    <xdr:sp macro="" textlink="Lan!F29">
      <xdr:nvSpPr>
        <xdr:cNvPr id="14" name="TextBox 3">
          <a:hlinkClick xmlns:r="http://schemas.openxmlformats.org/officeDocument/2006/relationships" r:id="rId6"/>
          <a:extLst>
            <a:ext uri="{FF2B5EF4-FFF2-40B4-BE49-F238E27FC236}">
              <a16:creationId xmlns:a16="http://schemas.microsoft.com/office/drawing/2014/main" id="{D03C828B-8257-448D-8DE6-010979C1B659}"/>
            </a:ext>
          </a:extLst>
        </xdr:cNvPr>
        <xdr:cNvSpPr txBox="1"/>
      </xdr:nvSpPr>
      <xdr:spPr>
        <a:xfrm>
          <a:off x="3692037" y="0"/>
          <a:ext cx="2240573"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8</xdr:col>
      <xdr:colOff>6320</xdr:colOff>
      <xdr:row>0</xdr:row>
      <xdr:rowOff>0</xdr:rowOff>
    </xdr:from>
    <xdr:to>
      <xdr:col>9</xdr:col>
      <xdr:colOff>816952</xdr:colOff>
      <xdr:row>0</xdr:row>
      <xdr:rowOff>493258</xdr:rowOff>
    </xdr:to>
    <xdr:sp macro="" textlink="Lan!F83">
      <xdr:nvSpPr>
        <xdr:cNvPr id="15" name="TextBox 3">
          <a:hlinkClick xmlns:r="http://schemas.openxmlformats.org/officeDocument/2006/relationships" r:id="rId7"/>
          <a:extLst>
            <a:ext uri="{FF2B5EF4-FFF2-40B4-BE49-F238E27FC236}">
              <a16:creationId xmlns:a16="http://schemas.microsoft.com/office/drawing/2014/main" id="{4FA89478-186D-4AA8-BB61-558A65D28828}"/>
            </a:ext>
          </a:extLst>
        </xdr:cNvPr>
        <xdr:cNvSpPr txBox="1"/>
      </xdr:nvSpPr>
      <xdr:spPr>
        <a:xfrm>
          <a:off x="5978495"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9</xdr:col>
      <xdr:colOff>860361</xdr:colOff>
      <xdr:row>0</xdr:row>
      <xdr:rowOff>0</xdr:rowOff>
    </xdr:from>
    <xdr:to>
      <xdr:col>11</xdr:col>
      <xdr:colOff>890218</xdr:colOff>
      <xdr:row>0</xdr:row>
      <xdr:rowOff>493258</xdr:rowOff>
    </xdr:to>
    <xdr:sp macro="" textlink="Lan!F86">
      <xdr:nvSpPr>
        <xdr:cNvPr id="17" name="TextBox 3">
          <a:hlinkClick xmlns:r="http://schemas.openxmlformats.org/officeDocument/2006/relationships" r:id="rId8"/>
          <a:extLst>
            <a:ext uri="{FF2B5EF4-FFF2-40B4-BE49-F238E27FC236}">
              <a16:creationId xmlns:a16="http://schemas.microsoft.com/office/drawing/2014/main" id="{89B7689D-BF40-433C-B64F-7644D48800F3}"/>
            </a:ext>
          </a:extLst>
        </xdr:cNvPr>
        <xdr:cNvSpPr txBox="1"/>
      </xdr:nvSpPr>
      <xdr:spPr>
        <a:xfrm>
          <a:off x="7813611" y="0"/>
          <a:ext cx="1992007"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800100</xdr:colOff>
      <xdr:row>0</xdr:row>
      <xdr:rowOff>0</xdr:rowOff>
    </xdr:from>
    <xdr:to>
      <xdr:col>3</xdr:col>
      <xdr:colOff>317256</xdr:colOff>
      <xdr:row>0</xdr:row>
      <xdr:rowOff>481496</xdr:rowOff>
    </xdr:to>
    <xdr:pic>
      <xdr:nvPicPr>
        <xdr:cNvPr id="21" name="Imagen 20" descr="Settings Icon of Flat style - Available in SVG, PNG, EPS, AI &amp; Icon fonts">
          <a:hlinkClick xmlns:r="http://schemas.openxmlformats.org/officeDocument/2006/relationships" r:id="rId5"/>
          <a:extLst>
            <a:ext uri="{FF2B5EF4-FFF2-40B4-BE49-F238E27FC236}">
              <a16:creationId xmlns:a16="http://schemas.microsoft.com/office/drawing/2014/main" id="{C5A12870-4717-4C9B-A5AF-A528B37E526D}"/>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555" r="8739" b="1493"/>
        <a:stretch/>
      </xdr:blipFill>
      <xdr:spPr bwMode="auto">
        <a:xfrm>
          <a:off x="1781175"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770793</xdr:colOff>
      <xdr:row>0</xdr:row>
      <xdr:rowOff>14654</xdr:rowOff>
    </xdr:from>
    <xdr:to>
      <xdr:col>5</xdr:col>
      <xdr:colOff>258639</xdr:colOff>
      <xdr:row>0</xdr:row>
      <xdr:rowOff>485740</xdr:rowOff>
    </xdr:to>
    <xdr:pic>
      <xdr:nvPicPr>
        <xdr:cNvPr id="22" name="Imagen 21" descr="Strategy Clipart Icon Web Icons Png - Strategy Icon Png Transparent Png -  Full Size Clipart (#137502) - PinClipart">
          <a:hlinkClick xmlns:r="http://schemas.openxmlformats.org/officeDocument/2006/relationships" r:id="rId6"/>
          <a:extLst>
            <a:ext uri="{FF2B5EF4-FFF2-40B4-BE49-F238E27FC236}">
              <a16:creationId xmlns:a16="http://schemas.microsoft.com/office/drawing/2014/main" id="{27B08C97-FEE7-4E04-886E-42E7472E6B0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714018"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8</xdr:col>
      <xdr:colOff>26377</xdr:colOff>
      <xdr:row>0</xdr:row>
      <xdr:rowOff>0</xdr:rowOff>
    </xdr:from>
    <xdr:to>
      <xdr:col>8</xdr:col>
      <xdr:colOff>422030</xdr:colOff>
      <xdr:row>0</xdr:row>
      <xdr:rowOff>476812</xdr:rowOff>
    </xdr:to>
    <xdr:pic>
      <xdr:nvPicPr>
        <xdr:cNvPr id="23" name="Imagen 22" descr="report - Image Storage - Reedsburg, Wisconsin">
          <a:hlinkClick xmlns:r="http://schemas.openxmlformats.org/officeDocument/2006/relationships" r:id="rId7"/>
          <a:extLst>
            <a:ext uri="{FF2B5EF4-FFF2-40B4-BE49-F238E27FC236}">
              <a16:creationId xmlns:a16="http://schemas.microsoft.com/office/drawing/2014/main" id="{B91242A8-0915-4144-80AB-4BCDB473A574}"/>
            </a:ext>
          </a:extLst>
        </xdr:cNvPr>
        <xdr:cNvPicPr>
          <a:picLocks noChangeAspect="1" noChangeArrowheads="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998552"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9</xdr:col>
      <xdr:colOff>875565</xdr:colOff>
      <xdr:row>0</xdr:row>
      <xdr:rowOff>14654</xdr:rowOff>
    </xdr:from>
    <xdr:to>
      <xdr:col>10</xdr:col>
      <xdr:colOff>473317</xdr:colOff>
      <xdr:row>0</xdr:row>
      <xdr:rowOff>492340</xdr:rowOff>
    </xdr:to>
    <xdr:pic>
      <xdr:nvPicPr>
        <xdr:cNvPr id="26" name="Imagen 25" descr="Dashboards Icon #145224 - Free Icons Library">
          <a:hlinkClick xmlns:r="http://schemas.openxmlformats.org/officeDocument/2006/relationships" r:id="rId8"/>
          <a:extLst>
            <a:ext uri="{FF2B5EF4-FFF2-40B4-BE49-F238E27FC236}">
              <a16:creationId xmlns:a16="http://schemas.microsoft.com/office/drawing/2014/main" id="{8B0BD6CD-8BDF-4BE2-B4ED-19C82E281ED4}"/>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8650" b="8922"/>
        <a:stretch/>
      </xdr:blipFill>
      <xdr:spPr bwMode="auto">
        <a:xfrm>
          <a:off x="7828815"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85725</xdr:colOff>
      <xdr:row>1</xdr:row>
      <xdr:rowOff>9525</xdr:rowOff>
    </xdr:from>
    <xdr:to>
      <xdr:col>6</xdr:col>
      <xdr:colOff>619125</xdr:colOff>
      <xdr:row>1</xdr:row>
      <xdr:rowOff>312084</xdr:rowOff>
    </xdr:to>
    <xdr:sp macro="" textlink="Lan!$F$87">
      <xdr:nvSpPr>
        <xdr:cNvPr id="27" name="Rectángulo 26">
          <a:hlinkClick xmlns:r="http://schemas.openxmlformats.org/officeDocument/2006/relationships" r:id="rId8"/>
          <a:extLst>
            <a:ext uri="{FF2B5EF4-FFF2-40B4-BE49-F238E27FC236}">
              <a16:creationId xmlns:a16="http://schemas.microsoft.com/office/drawing/2014/main" id="{3D12C723-D0A2-49DB-8A7D-37CA65B33B6B}"/>
            </a:ext>
          </a:extLst>
        </xdr:cNvPr>
        <xdr:cNvSpPr/>
      </xdr:nvSpPr>
      <xdr:spPr>
        <a:xfrm>
          <a:off x="2667000" y="504825"/>
          <a:ext cx="2133600"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7AD8277-68EB-4693-82FA-A19A2A72F1E1}" type="TxLink">
            <a:rPr lang="en-US" sz="1100" b="1" i="0" u="none" strike="noStrike">
              <a:solidFill>
                <a:schemeClr val="tx1"/>
              </a:solidFill>
              <a:latin typeface="CALIBRI"/>
              <a:cs typeface="CALIBRI"/>
            </a:rPr>
            <a:pPr algn="ctr"/>
            <a:t>4.1. Dashboard Plan Estratégico</a:t>
          </a:fld>
          <a:endParaRPr lang="en-US" sz="3200" b="1">
            <a:solidFill>
              <a:schemeClr val="tx1"/>
            </a:solidFill>
          </a:endParaRPr>
        </a:p>
      </xdr:txBody>
    </xdr:sp>
    <xdr:clientData/>
  </xdr:twoCellAnchor>
  <xdr:twoCellAnchor>
    <xdr:from>
      <xdr:col>6</xdr:col>
      <xdr:colOff>638175</xdr:colOff>
      <xdr:row>1</xdr:row>
      <xdr:rowOff>9525</xdr:rowOff>
    </xdr:from>
    <xdr:to>
      <xdr:col>10</xdr:col>
      <xdr:colOff>180975</xdr:colOff>
      <xdr:row>1</xdr:row>
      <xdr:rowOff>312084</xdr:rowOff>
    </xdr:to>
    <xdr:sp macro="" textlink="Lan!$F$88">
      <xdr:nvSpPr>
        <xdr:cNvPr id="29" name="Rectángulo 28">
          <a:hlinkClick xmlns:r="http://schemas.openxmlformats.org/officeDocument/2006/relationships" r:id="rId14"/>
          <a:extLst>
            <a:ext uri="{FF2B5EF4-FFF2-40B4-BE49-F238E27FC236}">
              <a16:creationId xmlns:a16="http://schemas.microsoft.com/office/drawing/2014/main" id="{95065641-9DFA-4FA9-9941-FA429A4C6B96}"/>
            </a:ext>
          </a:extLst>
        </xdr:cNvPr>
        <xdr:cNvSpPr/>
      </xdr:nvSpPr>
      <xdr:spPr>
        <a:xfrm>
          <a:off x="4819650" y="504825"/>
          <a:ext cx="20288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D9E8B4F-8D8D-4525-A6FA-A87336E0A39F}" type="TxLink">
            <a:rPr lang="en-US" sz="1100" b="1" i="0" u="none" strike="noStrike">
              <a:solidFill>
                <a:schemeClr val="bg1"/>
              </a:solidFill>
              <a:latin typeface="CALIBRI"/>
              <a:cs typeface="CALIBRI"/>
            </a:rPr>
            <a:pPr algn="ctr"/>
            <a:t>4.2. Dashboard Plan de Acción</a:t>
          </a:fld>
          <a:endParaRPr lang="en-US" sz="3200" b="1">
            <a:solidFill>
              <a:schemeClr val="bg1"/>
            </a:solidFill>
          </a:endParaRPr>
        </a:p>
      </xdr:txBody>
    </xdr:sp>
    <xdr:clientData/>
  </xdr:twoCellAnchor>
  <xdr:twoCellAnchor>
    <xdr:from>
      <xdr:col>10</xdr:col>
      <xdr:colOff>200026</xdr:colOff>
      <xdr:row>1</xdr:row>
      <xdr:rowOff>9525</xdr:rowOff>
    </xdr:from>
    <xdr:to>
      <xdr:col>12</xdr:col>
      <xdr:colOff>238126</xdr:colOff>
      <xdr:row>1</xdr:row>
      <xdr:rowOff>312084</xdr:rowOff>
    </xdr:to>
    <xdr:sp macro="" textlink="Lan!$F$90">
      <xdr:nvSpPr>
        <xdr:cNvPr id="30" name="Rectángulo 29">
          <a:hlinkClick xmlns:r="http://schemas.openxmlformats.org/officeDocument/2006/relationships" r:id="rId15"/>
          <a:extLst>
            <a:ext uri="{FF2B5EF4-FFF2-40B4-BE49-F238E27FC236}">
              <a16:creationId xmlns:a16="http://schemas.microsoft.com/office/drawing/2014/main" id="{1D05072F-B206-4F8F-8340-1AC3DAF390F0}"/>
            </a:ext>
          </a:extLst>
        </xdr:cNvPr>
        <xdr:cNvSpPr/>
      </xdr:nvSpPr>
      <xdr:spPr>
        <a:xfrm>
          <a:off x="6867526" y="504825"/>
          <a:ext cx="1638300"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8A5D026-A8CE-4CAA-81D9-DFDF85BEC837}" type="TxLink">
            <a:rPr lang="en-US" sz="1100" b="1" i="0" u="none" strike="noStrike">
              <a:solidFill>
                <a:schemeClr val="bg1"/>
              </a:solidFill>
              <a:latin typeface="CALIBRI"/>
              <a:cs typeface="CALIBRI"/>
            </a:rPr>
            <a:pPr algn="ctr"/>
            <a:t>4.3. Presentación P. E.</a:t>
          </a:fld>
          <a:endParaRPr lang="en-US" sz="4000" b="1">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320040</xdr:colOff>
      <xdr:row>5</xdr:row>
      <xdr:rowOff>53341</xdr:rowOff>
    </xdr:from>
    <xdr:to>
      <xdr:col>13</xdr:col>
      <xdr:colOff>381000</xdr:colOff>
      <xdr:row>9</xdr:row>
      <xdr:rowOff>137161</xdr:rowOff>
    </xdr:to>
    <xdr:graphicFrame macro="">
      <xdr:nvGraphicFramePr>
        <xdr:cNvPr id="3" name="Chart 2">
          <a:extLst>
            <a:ext uri="{FF2B5EF4-FFF2-40B4-BE49-F238E27FC236}">
              <a16:creationId xmlns:a16="http://schemas.microsoft.com/office/drawing/2014/main" id="{FEE38A34-F524-4563-871E-38BD95B8AF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287143</xdr:colOff>
      <xdr:row>5</xdr:row>
      <xdr:rowOff>173355</xdr:rowOff>
    </xdr:from>
    <xdr:ext cx="804421" cy="374077"/>
    <xdr:sp macro="" textlink="Lan!F91">
      <xdr:nvSpPr>
        <xdr:cNvPr id="11" name="TextBox 10">
          <a:extLst>
            <a:ext uri="{FF2B5EF4-FFF2-40B4-BE49-F238E27FC236}">
              <a16:creationId xmlns:a16="http://schemas.microsoft.com/office/drawing/2014/main" id="{294C23B2-A7EE-4A7B-A49C-750014B263A0}"/>
            </a:ext>
          </a:extLst>
        </xdr:cNvPr>
        <xdr:cNvSpPr txBox="1"/>
      </xdr:nvSpPr>
      <xdr:spPr>
        <a:xfrm>
          <a:off x="10421743" y="1687830"/>
          <a:ext cx="804421"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50FBD7BE-59C1-4FA1-8444-3E8E266D43F5}" type="TxLink">
            <a:rPr lang="en-US" sz="900" b="0" i="0" u="none" strike="noStrike">
              <a:solidFill>
                <a:schemeClr val="tx1">
                  <a:lumMod val="50000"/>
                  <a:lumOff val="50000"/>
                </a:schemeClr>
              </a:solidFill>
              <a:latin typeface="CALIBRI"/>
              <a:cs typeface="CALIBRI"/>
            </a:rPr>
            <a:pPr algn="ctr"/>
            <a:t>Días hasta la fecha límite</a:t>
          </a:fld>
          <a:endParaRPr lang="fr-CA" sz="900">
            <a:solidFill>
              <a:schemeClr val="tx1">
                <a:lumMod val="50000"/>
                <a:lumOff val="50000"/>
              </a:schemeClr>
            </a:solidFill>
          </a:endParaRPr>
        </a:p>
      </xdr:txBody>
    </xdr:sp>
    <xdr:clientData/>
  </xdr:oneCellAnchor>
  <xdr:oneCellAnchor>
    <xdr:from>
      <xdr:col>11</xdr:col>
      <xdr:colOff>349682</xdr:colOff>
      <xdr:row>6</xdr:row>
      <xdr:rowOff>152400</xdr:rowOff>
    </xdr:from>
    <xdr:ext cx="557012" cy="436723"/>
    <xdr:sp macro="" textlink="AuxDash!D5">
      <xdr:nvSpPr>
        <xdr:cNvPr id="12" name="TextBox 11">
          <a:extLst>
            <a:ext uri="{FF2B5EF4-FFF2-40B4-BE49-F238E27FC236}">
              <a16:creationId xmlns:a16="http://schemas.microsoft.com/office/drawing/2014/main" id="{2FEEFDEC-3A93-41F8-9CE3-088F53093822}"/>
            </a:ext>
          </a:extLst>
        </xdr:cNvPr>
        <xdr:cNvSpPr txBox="1"/>
      </xdr:nvSpPr>
      <xdr:spPr>
        <a:xfrm>
          <a:off x="9550832" y="1828800"/>
          <a:ext cx="557012" cy="436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7DFBFA0A-B936-478F-A922-4CDAC2DA58D9}" type="TxLink">
            <a:rPr lang="en-US" sz="2200" b="0" i="0" u="none" strike="noStrike">
              <a:solidFill>
                <a:srgbClr val="000000"/>
              </a:solidFill>
              <a:latin typeface="CALIBRI"/>
              <a:cs typeface="CALIBRI"/>
            </a:rPr>
            <a:pPr algn="ctr"/>
            <a:t>353</a:t>
          </a:fld>
          <a:endParaRPr lang="fr-CA" sz="2200">
            <a:solidFill>
              <a:schemeClr val="tx1">
                <a:lumMod val="50000"/>
                <a:lumOff val="50000"/>
              </a:schemeClr>
            </a:solidFill>
          </a:endParaRPr>
        </a:p>
      </xdr:txBody>
    </xdr:sp>
    <xdr:clientData/>
  </xdr:oneCellAnchor>
  <xdr:twoCellAnchor>
    <xdr:from>
      <xdr:col>1</xdr:col>
      <xdr:colOff>7620</xdr:colOff>
      <xdr:row>14</xdr:row>
      <xdr:rowOff>68580</xdr:rowOff>
    </xdr:from>
    <xdr:to>
      <xdr:col>6</xdr:col>
      <xdr:colOff>7620</xdr:colOff>
      <xdr:row>24</xdr:row>
      <xdr:rowOff>137160</xdr:rowOff>
    </xdr:to>
    <xdr:sp macro="" textlink="">
      <xdr:nvSpPr>
        <xdr:cNvPr id="13" name="Rectangle 12">
          <a:extLst>
            <a:ext uri="{FF2B5EF4-FFF2-40B4-BE49-F238E27FC236}">
              <a16:creationId xmlns:a16="http://schemas.microsoft.com/office/drawing/2014/main" id="{9E07DE3C-917D-49ED-8B90-05C5477C0932}"/>
            </a:ext>
          </a:extLst>
        </xdr:cNvPr>
        <xdr:cNvSpPr/>
      </xdr:nvSpPr>
      <xdr:spPr>
        <a:xfrm>
          <a:off x="1897380" y="2080260"/>
          <a:ext cx="4427220" cy="2423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xdr:col>
      <xdr:colOff>0</xdr:colOff>
      <xdr:row>14</xdr:row>
      <xdr:rowOff>68580</xdr:rowOff>
    </xdr:from>
    <xdr:to>
      <xdr:col>12</xdr:col>
      <xdr:colOff>0</xdr:colOff>
      <xdr:row>24</xdr:row>
      <xdr:rowOff>137160</xdr:rowOff>
    </xdr:to>
    <xdr:sp macro="" textlink="">
      <xdr:nvSpPr>
        <xdr:cNvPr id="14" name="Rectangle 13">
          <a:extLst>
            <a:ext uri="{FF2B5EF4-FFF2-40B4-BE49-F238E27FC236}">
              <a16:creationId xmlns:a16="http://schemas.microsoft.com/office/drawing/2014/main" id="{B8E08C3A-D017-4039-92E7-922DE55BAB97}"/>
            </a:ext>
          </a:extLst>
        </xdr:cNvPr>
        <xdr:cNvSpPr/>
      </xdr:nvSpPr>
      <xdr:spPr>
        <a:xfrm>
          <a:off x="6416040" y="2080260"/>
          <a:ext cx="4427220" cy="2423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15240</xdr:colOff>
      <xdr:row>24</xdr:row>
      <xdr:rowOff>228600</xdr:rowOff>
    </xdr:from>
    <xdr:to>
      <xdr:col>6</xdr:col>
      <xdr:colOff>15240</xdr:colOff>
      <xdr:row>35</xdr:row>
      <xdr:rowOff>15240</xdr:rowOff>
    </xdr:to>
    <xdr:sp macro="" textlink="">
      <xdr:nvSpPr>
        <xdr:cNvPr id="15" name="Rectangle 14">
          <a:extLst>
            <a:ext uri="{FF2B5EF4-FFF2-40B4-BE49-F238E27FC236}">
              <a16:creationId xmlns:a16="http://schemas.microsoft.com/office/drawing/2014/main" id="{3101509A-D6BF-4D8A-BCA5-CE7DA765253C}"/>
            </a:ext>
          </a:extLst>
        </xdr:cNvPr>
        <xdr:cNvSpPr/>
      </xdr:nvSpPr>
      <xdr:spPr>
        <a:xfrm>
          <a:off x="1905000" y="4594860"/>
          <a:ext cx="4427220" cy="2423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xdr:col>
      <xdr:colOff>7620</xdr:colOff>
      <xdr:row>24</xdr:row>
      <xdr:rowOff>220980</xdr:rowOff>
    </xdr:from>
    <xdr:to>
      <xdr:col>12</xdr:col>
      <xdr:colOff>7620</xdr:colOff>
      <xdr:row>35</xdr:row>
      <xdr:rowOff>7620</xdr:rowOff>
    </xdr:to>
    <xdr:sp macro="" textlink="">
      <xdr:nvSpPr>
        <xdr:cNvPr id="16" name="Rectangle 15">
          <a:extLst>
            <a:ext uri="{FF2B5EF4-FFF2-40B4-BE49-F238E27FC236}">
              <a16:creationId xmlns:a16="http://schemas.microsoft.com/office/drawing/2014/main" id="{768928DF-DD0A-4889-AF06-E5AF66FE0579}"/>
            </a:ext>
          </a:extLst>
        </xdr:cNvPr>
        <xdr:cNvSpPr/>
      </xdr:nvSpPr>
      <xdr:spPr>
        <a:xfrm>
          <a:off x="6423660" y="4587240"/>
          <a:ext cx="4427220" cy="2423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mc:AlternateContent xmlns:mc="http://schemas.openxmlformats.org/markup-compatibility/2006">
    <mc:Choice xmlns:a14="http://schemas.microsoft.com/office/drawing/2010/main" Requires="a14">
      <xdr:twoCellAnchor editAs="oneCell">
        <xdr:from>
          <xdr:col>4</xdr:col>
          <xdr:colOff>1043940</xdr:colOff>
          <xdr:row>11</xdr:row>
          <xdr:rowOff>121920</xdr:rowOff>
        </xdr:from>
        <xdr:to>
          <xdr:col>6</xdr:col>
          <xdr:colOff>57150</xdr:colOff>
          <xdr:row>12</xdr:row>
          <xdr:rowOff>152400</xdr:rowOff>
        </xdr:to>
        <xdr:pic>
          <xdr:nvPicPr>
            <xdr:cNvPr id="17" name="Picture 16">
              <a:extLst>
                <a:ext uri="{FF2B5EF4-FFF2-40B4-BE49-F238E27FC236}">
                  <a16:creationId xmlns:a16="http://schemas.microsoft.com/office/drawing/2014/main" id="{4729000F-E412-44C4-A04E-E48B70CFA57C}"/>
                </a:ext>
              </a:extLst>
            </xdr:cNvPr>
            <xdr:cNvPicPr>
              <a:picLocks noChangeAspect="1" noChangeArrowheads="1"/>
              <a:extLst>
                <a:ext uri="{84589F7E-364E-4C9E-8A38-B11213B215E9}">
                  <a14:cameraTool cellRange="AuxPlan!$D$72" spid="_x0000_s302586"/>
                </a:ext>
              </a:extLst>
            </xdr:cNvPicPr>
          </xdr:nvPicPr>
          <xdr:blipFill>
            <a:blip xmlns:r="http://schemas.openxmlformats.org/officeDocument/2006/relationships" r:embed="rId2"/>
            <a:srcRect/>
            <a:stretch>
              <a:fillRect/>
            </a:stretch>
          </xdr:blipFill>
          <xdr:spPr bwMode="auto">
            <a:xfrm>
              <a:off x="3909060" y="2567940"/>
              <a:ext cx="1859280" cy="28194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xdr:col>
      <xdr:colOff>30480</xdr:colOff>
      <xdr:row>14</xdr:row>
      <xdr:rowOff>99060</xdr:rowOff>
    </xdr:from>
    <xdr:to>
      <xdr:col>5</xdr:col>
      <xdr:colOff>1043940</xdr:colOff>
      <xdr:row>24</xdr:row>
      <xdr:rowOff>129540</xdr:rowOff>
    </xdr:to>
    <xdr:graphicFrame macro="">
      <xdr:nvGraphicFramePr>
        <xdr:cNvPr id="19" name="Chart 18">
          <a:extLst>
            <a:ext uri="{FF2B5EF4-FFF2-40B4-BE49-F238E27FC236}">
              <a16:creationId xmlns:a16="http://schemas.microsoft.com/office/drawing/2014/main" id="{F2C980BC-FADB-4D93-BE02-91BEF92B0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24</xdr:row>
      <xdr:rowOff>182880</xdr:rowOff>
    </xdr:from>
    <xdr:to>
      <xdr:col>5</xdr:col>
      <xdr:colOff>1036320</xdr:colOff>
      <xdr:row>34</xdr:row>
      <xdr:rowOff>198120</xdr:rowOff>
    </xdr:to>
    <xdr:graphicFrame macro="">
      <xdr:nvGraphicFramePr>
        <xdr:cNvPr id="21" name="Chart 20">
          <a:extLst>
            <a:ext uri="{FF2B5EF4-FFF2-40B4-BE49-F238E27FC236}">
              <a16:creationId xmlns:a16="http://schemas.microsoft.com/office/drawing/2014/main" id="{2D4E7654-83AF-42D2-8D24-BD9DB2624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22860</xdr:colOff>
      <xdr:row>24</xdr:row>
      <xdr:rowOff>228600</xdr:rowOff>
    </xdr:from>
    <xdr:to>
      <xdr:col>11</xdr:col>
      <xdr:colOff>1036320</xdr:colOff>
      <xdr:row>34</xdr:row>
      <xdr:rowOff>228600</xdr:rowOff>
    </xdr:to>
    <xdr:graphicFrame macro="">
      <xdr:nvGraphicFramePr>
        <xdr:cNvPr id="23" name="Chart 22">
          <a:extLst>
            <a:ext uri="{FF2B5EF4-FFF2-40B4-BE49-F238E27FC236}">
              <a16:creationId xmlns:a16="http://schemas.microsoft.com/office/drawing/2014/main" id="{C13FB104-FB13-4FBA-B013-5DCDB11DF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15240</xdr:colOff>
      <xdr:row>14</xdr:row>
      <xdr:rowOff>91440</xdr:rowOff>
    </xdr:from>
    <xdr:to>
      <xdr:col>11</xdr:col>
      <xdr:colOff>1043940</xdr:colOff>
      <xdr:row>24</xdr:row>
      <xdr:rowOff>121920</xdr:rowOff>
    </xdr:to>
    <xdr:graphicFrame macro="">
      <xdr:nvGraphicFramePr>
        <xdr:cNvPr id="24" name="Chart 23">
          <a:extLst>
            <a:ext uri="{FF2B5EF4-FFF2-40B4-BE49-F238E27FC236}">
              <a16:creationId xmlns:a16="http://schemas.microsoft.com/office/drawing/2014/main" id="{5D269F4C-B829-4FFB-8B74-0DB29414B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1247775</xdr:colOff>
      <xdr:row>0</xdr:row>
      <xdr:rowOff>0</xdr:rowOff>
    </xdr:from>
    <xdr:to>
      <xdr:col>4</xdr:col>
      <xdr:colOff>249849</xdr:colOff>
      <xdr:row>0</xdr:row>
      <xdr:rowOff>493258</xdr:rowOff>
    </xdr:to>
    <xdr:sp macro="" textlink="Lan!F11">
      <xdr:nvSpPr>
        <xdr:cNvPr id="18" name="TextBox 3">
          <a:hlinkClick xmlns:r="http://schemas.openxmlformats.org/officeDocument/2006/relationships" r:id="rId7"/>
          <a:extLst>
            <a:ext uri="{FF2B5EF4-FFF2-40B4-BE49-F238E27FC236}">
              <a16:creationId xmlns:a16="http://schemas.microsoft.com/office/drawing/2014/main" id="{2813354B-519D-43F1-B37B-866DC3CA5067}"/>
            </a:ext>
          </a:extLst>
        </xdr:cNvPr>
        <xdr:cNvSpPr txBox="1"/>
      </xdr:nvSpPr>
      <xdr:spPr>
        <a:xfrm>
          <a:off x="142875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4</xdr:col>
      <xdr:colOff>301137</xdr:colOff>
      <xdr:row>0</xdr:row>
      <xdr:rowOff>0</xdr:rowOff>
    </xdr:from>
    <xdr:to>
      <xdr:col>5</xdr:col>
      <xdr:colOff>1160585</xdr:colOff>
      <xdr:row>0</xdr:row>
      <xdr:rowOff>493258</xdr:rowOff>
    </xdr:to>
    <xdr:sp macro="" textlink="Lan!F29">
      <xdr:nvSpPr>
        <xdr:cNvPr id="20" name="TextBox 3">
          <a:hlinkClick xmlns:r="http://schemas.openxmlformats.org/officeDocument/2006/relationships" r:id="rId8"/>
          <a:extLst>
            <a:ext uri="{FF2B5EF4-FFF2-40B4-BE49-F238E27FC236}">
              <a16:creationId xmlns:a16="http://schemas.microsoft.com/office/drawing/2014/main" id="{A5EE93A3-7049-4708-9501-A33F624FCFD8}"/>
            </a:ext>
          </a:extLst>
        </xdr:cNvPr>
        <xdr:cNvSpPr txBox="1"/>
      </xdr:nvSpPr>
      <xdr:spPr>
        <a:xfrm>
          <a:off x="3339612" y="0"/>
          <a:ext cx="2240573"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5</xdr:col>
      <xdr:colOff>1206470</xdr:colOff>
      <xdr:row>0</xdr:row>
      <xdr:rowOff>0</xdr:rowOff>
    </xdr:from>
    <xdr:to>
      <xdr:col>8</xdr:col>
      <xdr:colOff>140677</xdr:colOff>
      <xdr:row>0</xdr:row>
      <xdr:rowOff>493258</xdr:rowOff>
    </xdr:to>
    <xdr:sp macro="" textlink="Lan!F83">
      <xdr:nvSpPr>
        <xdr:cNvPr id="22" name="TextBox 3">
          <a:hlinkClick xmlns:r="http://schemas.openxmlformats.org/officeDocument/2006/relationships" r:id="rId9"/>
          <a:extLst>
            <a:ext uri="{FF2B5EF4-FFF2-40B4-BE49-F238E27FC236}">
              <a16:creationId xmlns:a16="http://schemas.microsoft.com/office/drawing/2014/main" id="{8ED0F29D-9321-4C8A-AC2F-7F0740615D71}"/>
            </a:ext>
          </a:extLst>
        </xdr:cNvPr>
        <xdr:cNvSpPr txBox="1"/>
      </xdr:nvSpPr>
      <xdr:spPr>
        <a:xfrm>
          <a:off x="562607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8</xdr:col>
      <xdr:colOff>184086</xdr:colOff>
      <xdr:row>0</xdr:row>
      <xdr:rowOff>0</xdr:rowOff>
    </xdr:from>
    <xdr:to>
      <xdr:col>10</xdr:col>
      <xdr:colOff>699718</xdr:colOff>
      <xdr:row>0</xdr:row>
      <xdr:rowOff>493258</xdr:rowOff>
    </xdr:to>
    <xdr:sp macro="" textlink="Lan!F86">
      <xdr:nvSpPr>
        <xdr:cNvPr id="25" name="TextBox 3">
          <a:hlinkClick xmlns:r="http://schemas.openxmlformats.org/officeDocument/2006/relationships" r:id="rId10"/>
          <a:extLst>
            <a:ext uri="{FF2B5EF4-FFF2-40B4-BE49-F238E27FC236}">
              <a16:creationId xmlns:a16="http://schemas.microsoft.com/office/drawing/2014/main" id="{A3DBBADA-06DA-4733-8D72-C8EB59776ECA}"/>
            </a:ext>
          </a:extLst>
        </xdr:cNvPr>
        <xdr:cNvSpPr txBox="1"/>
      </xdr:nvSpPr>
      <xdr:spPr>
        <a:xfrm>
          <a:off x="7461186" y="0"/>
          <a:ext cx="1992007" cy="493258"/>
        </a:xfrm>
        <a:prstGeom prst="rect">
          <a:avLst/>
        </a:prstGeom>
        <a:solidFill>
          <a:srgbClr val="07214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1247775</xdr:colOff>
      <xdr:row>0</xdr:row>
      <xdr:rowOff>0</xdr:rowOff>
    </xdr:from>
    <xdr:to>
      <xdr:col>2</xdr:col>
      <xdr:colOff>364881</xdr:colOff>
      <xdr:row>0</xdr:row>
      <xdr:rowOff>481496</xdr:rowOff>
    </xdr:to>
    <xdr:pic>
      <xdr:nvPicPr>
        <xdr:cNvPr id="26" name="Imagen 25" descr="Settings Icon of Flat style - Available in SVG, PNG, EPS, AI &amp; Icon fonts">
          <a:hlinkClick xmlns:r="http://schemas.openxmlformats.org/officeDocument/2006/relationships" r:id="rId7"/>
          <a:extLst>
            <a:ext uri="{FF2B5EF4-FFF2-40B4-BE49-F238E27FC236}">
              <a16:creationId xmlns:a16="http://schemas.microsoft.com/office/drawing/2014/main" id="{3FEAE769-9A70-4920-908A-089EFD3888AD}"/>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555" r="8739" b="1493"/>
        <a:stretch/>
      </xdr:blipFill>
      <xdr:spPr bwMode="auto">
        <a:xfrm>
          <a:off x="142875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323118</xdr:colOff>
      <xdr:row>0</xdr:row>
      <xdr:rowOff>14654</xdr:rowOff>
    </xdr:from>
    <xdr:to>
      <xdr:col>4</xdr:col>
      <xdr:colOff>792039</xdr:colOff>
      <xdr:row>0</xdr:row>
      <xdr:rowOff>485740</xdr:rowOff>
    </xdr:to>
    <xdr:pic>
      <xdr:nvPicPr>
        <xdr:cNvPr id="27" name="Imagen 26" descr="Strategy Clipart Icon Web Icons Png - Strategy Icon Png Transparent Png -  Full Size Clipart (#137502) - PinClipart">
          <a:hlinkClick xmlns:r="http://schemas.openxmlformats.org/officeDocument/2006/relationships" r:id="rId8"/>
          <a:extLst>
            <a:ext uri="{FF2B5EF4-FFF2-40B4-BE49-F238E27FC236}">
              <a16:creationId xmlns:a16="http://schemas.microsoft.com/office/drawing/2014/main" id="{B1DEFA1D-EC1C-4BF1-B9E6-F256182E9D5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36159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1226527</xdr:colOff>
      <xdr:row>0</xdr:row>
      <xdr:rowOff>0</xdr:rowOff>
    </xdr:from>
    <xdr:to>
      <xdr:col>7</xdr:col>
      <xdr:colOff>145805</xdr:colOff>
      <xdr:row>0</xdr:row>
      <xdr:rowOff>476812</xdr:rowOff>
    </xdr:to>
    <xdr:pic>
      <xdr:nvPicPr>
        <xdr:cNvPr id="28" name="Imagen 27" descr="report - Image Storage - Reedsburg, Wisconsin">
          <a:hlinkClick xmlns:r="http://schemas.openxmlformats.org/officeDocument/2006/relationships" r:id="rId9"/>
          <a:extLst>
            <a:ext uri="{FF2B5EF4-FFF2-40B4-BE49-F238E27FC236}">
              <a16:creationId xmlns:a16="http://schemas.microsoft.com/office/drawing/2014/main" id="{16AAF0FC-7EC5-4F42-8460-829905C2B61C}"/>
            </a:ext>
          </a:extLst>
        </xdr:cNvPr>
        <xdr:cNvPicPr>
          <a:picLocks noChangeAspect="1" noChangeArrowheads="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64612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8</xdr:col>
      <xdr:colOff>199290</xdr:colOff>
      <xdr:row>0</xdr:row>
      <xdr:rowOff>14654</xdr:rowOff>
    </xdr:from>
    <xdr:to>
      <xdr:col>8</xdr:col>
      <xdr:colOff>778117</xdr:colOff>
      <xdr:row>0</xdr:row>
      <xdr:rowOff>492340</xdr:rowOff>
    </xdr:to>
    <xdr:pic>
      <xdr:nvPicPr>
        <xdr:cNvPr id="29" name="Imagen 28" descr="Dashboards Icon #145224 - Free Icons Library">
          <a:hlinkClick xmlns:r="http://schemas.openxmlformats.org/officeDocument/2006/relationships" r:id="rId10"/>
          <a:extLst>
            <a:ext uri="{FF2B5EF4-FFF2-40B4-BE49-F238E27FC236}">
              <a16:creationId xmlns:a16="http://schemas.microsoft.com/office/drawing/2014/main" id="{F22993F9-7F49-4979-A8E9-CB04EC9FB5DB}"/>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8650" b="8922"/>
        <a:stretch/>
      </xdr:blipFill>
      <xdr:spPr bwMode="auto">
        <a:xfrm>
          <a:off x="747639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695325</xdr:colOff>
      <xdr:row>1</xdr:row>
      <xdr:rowOff>9525</xdr:rowOff>
    </xdr:from>
    <xdr:to>
      <xdr:col>4</xdr:col>
      <xdr:colOff>1352550</xdr:colOff>
      <xdr:row>1</xdr:row>
      <xdr:rowOff>312084</xdr:rowOff>
    </xdr:to>
    <xdr:sp macro="" textlink="Lan!$F$87">
      <xdr:nvSpPr>
        <xdr:cNvPr id="30" name="Rectángulo 29">
          <a:hlinkClick xmlns:r="http://schemas.openxmlformats.org/officeDocument/2006/relationships" r:id="rId10"/>
          <a:extLst>
            <a:ext uri="{FF2B5EF4-FFF2-40B4-BE49-F238E27FC236}">
              <a16:creationId xmlns:a16="http://schemas.microsoft.com/office/drawing/2014/main" id="{A6EBC4E7-E5D3-4AE6-9291-1456E63703A8}"/>
            </a:ext>
          </a:extLst>
        </xdr:cNvPr>
        <xdr:cNvSpPr/>
      </xdr:nvSpPr>
      <xdr:spPr>
        <a:xfrm>
          <a:off x="2257425" y="504825"/>
          <a:ext cx="2133600"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7AD8277-68EB-4693-82FA-A19A2A72F1E1}" type="TxLink">
            <a:rPr lang="en-US" sz="1100" b="1" i="0" u="none" strike="noStrike">
              <a:solidFill>
                <a:schemeClr val="bg1"/>
              </a:solidFill>
              <a:latin typeface="CALIBRI"/>
              <a:cs typeface="CALIBRI"/>
            </a:rPr>
            <a:pPr algn="ctr"/>
            <a:t>4.1. Dashboard Plan Estratégico</a:t>
          </a:fld>
          <a:endParaRPr lang="en-US" sz="3200" b="1">
            <a:solidFill>
              <a:schemeClr val="bg1"/>
            </a:solidFill>
          </a:endParaRPr>
        </a:p>
      </xdr:txBody>
    </xdr:sp>
    <xdr:clientData/>
  </xdr:twoCellAnchor>
  <xdr:twoCellAnchor>
    <xdr:from>
      <xdr:col>4</xdr:col>
      <xdr:colOff>1371600</xdr:colOff>
      <xdr:row>1</xdr:row>
      <xdr:rowOff>9525</xdr:rowOff>
    </xdr:from>
    <xdr:to>
      <xdr:col>7</xdr:col>
      <xdr:colOff>542925</xdr:colOff>
      <xdr:row>1</xdr:row>
      <xdr:rowOff>312084</xdr:rowOff>
    </xdr:to>
    <xdr:sp macro="" textlink="Lan!$F$88">
      <xdr:nvSpPr>
        <xdr:cNvPr id="31" name="Rectángulo 30">
          <a:hlinkClick xmlns:r="http://schemas.openxmlformats.org/officeDocument/2006/relationships" r:id="rId16"/>
          <a:extLst>
            <a:ext uri="{FF2B5EF4-FFF2-40B4-BE49-F238E27FC236}">
              <a16:creationId xmlns:a16="http://schemas.microsoft.com/office/drawing/2014/main" id="{E425F9D0-6DB3-4589-AD08-05A989CAB967}"/>
            </a:ext>
          </a:extLst>
        </xdr:cNvPr>
        <xdr:cNvSpPr/>
      </xdr:nvSpPr>
      <xdr:spPr>
        <a:xfrm>
          <a:off x="4410075" y="504825"/>
          <a:ext cx="2028825"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D9E8B4F-8D8D-4525-A6FA-A87336E0A39F}" type="TxLink">
            <a:rPr lang="en-US" sz="1100" b="1" i="0" u="none" strike="noStrike">
              <a:solidFill>
                <a:schemeClr val="tx1"/>
              </a:solidFill>
              <a:latin typeface="CALIBRI"/>
              <a:cs typeface="CALIBRI"/>
            </a:rPr>
            <a:pPr algn="ctr"/>
            <a:t>4.2. Dashboard Plan de Acción</a:t>
          </a:fld>
          <a:endParaRPr lang="en-US" sz="3200" b="1">
            <a:solidFill>
              <a:schemeClr val="tx1"/>
            </a:solidFill>
          </a:endParaRPr>
        </a:p>
      </xdr:txBody>
    </xdr:sp>
    <xdr:clientData/>
  </xdr:twoCellAnchor>
  <xdr:twoCellAnchor>
    <xdr:from>
      <xdr:col>7</xdr:col>
      <xdr:colOff>561976</xdr:colOff>
      <xdr:row>1</xdr:row>
      <xdr:rowOff>9525</xdr:rowOff>
    </xdr:from>
    <xdr:to>
      <xdr:col>8</xdr:col>
      <xdr:colOff>819151</xdr:colOff>
      <xdr:row>1</xdr:row>
      <xdr:rowOff>312084</xdr:rowOff>
    </xdr:to>
    <xdr:sp macro="" textlink="Lan!$F$90">
      <xdr:nvSpPr>
        <xdr:cNvPr id="32" name="Rectángulo 31">
          <a:hlinkClick xmlns:r="http://schemas.openxmlformats.org/officeDocument/2006/relationships" r:id="rId17"/>
          <a:extLst>
            <a:ext uri="{FF2B5EF4-FFF2-40B4-BE49-F238E27FC236}">
              <a16:creationId xmlns:a16="http://schemas.microsoft.com/office/drawing/2014/main" id="{33B409CB-B7A8-4019-9DF3-3EB56A4E505F}"/>
            </a:ext>
          </a:extLst>
        </xdr:cNvPr>
        <xdr:cNvSpPr/>
      </xdr:nvSpPr>
      <xdr:spPr>
        <a:xfrm>
          <a:off x="6457951" y="504825"/>
          <a:ext cx="1638300"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8A5D026-A8CE-4CAA-81D9-DFDF85BEC837}" type="TxLink">
            <a:rPr lang="en-US" sz="1100" b="1" i="0" u="none" strike="noStrike">
              <a:solidFill>
                <a:schemeClr val="bg1"/>
              </a:solidFill>
              <a:latin typeface="CALIBRI"/>
              <a:cs typeface="CALIBRI"/>
            </a:rPr>
            <a:pPr algn="ctr"/>
            <a:t>4.3. Presentación P. E.</a:t>
          </a:fld>
          <a:endParaRPr lang="en-US" sz="4000" b="1">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36195</xdr:colOff>
      <xdr:row>6</xdr:row>
      <xdr:rowOff>142875</xdr:rowOff>
    </xdr:from>
    <xdr:to>
      <xdr:col>2</xdr:col>
      <xdr:colOff>36195</xdr:colOff>
      <xdr:row>9</xdr:row>
      <xdr:rowOff>9525</xdr:rowOff>
    </xdr:to>
    <xdr:cxnSp macro="">
      <xdr:nvCxnSpPr>
        <xdr:cNvPr id="6" name="Straight Connector 5">
          <a:extLst>
            <a:ext uri="{FF2B5EF4-FFF2-40B4-BE49-F238E27FC236}">
              <a16:creationId xmlns:a16="http://schemas.microsoft.com/office/drawing/2014/main" id="{A3692488-C582-48D2-BA51-478A2C647594}"/>
            </a:ext>
          </a:extLst>
        </xdr:cNvPr>
        <xdr:cNvCxnSpPr/>
      </xdr:nvCxnSpPr>
      <xdr:spPr>
        <a:xfrm>
          <a:off x="321945" y="1905000"/>
          <a:ext cx="0" cy="60960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66674</xdr:colOff>
      <xdr:row>6</xdr:row>
      <xdr:rowOff>142875</xdr:rowOff>
    </xdr:from>
    <xdr:ext cx="9716171" cy="342786"/>
    <xdr:sp macro="" textlink="Settings!C15">
      <xdr:nvSpPr>
        <xdr:cNvPr id="9" name="TextBox 8">
          <a:extLst>
            <a:ext uri="{FF2B5EF4-FFF2-40B4-BE49-F238E27FC236}">
              <a16:creationId xmlns:a16="http://schemas.microsoft.com/office/drawing/2014/main" id="{2690BA5F-DD1C-4A6A-B429-50B39B9A26BF}"/>
            </a:ext>
          </a:extLst>
        </xdr:cNvPr>
        <xdr:cNvSpPr txBox="1"/>
      </xdr:nvSpPr>
      <xdr:spPr>
        <a:xfrm>
          <a:off x="352424" y="1905000"/>
          <a:ext cx="971617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B317C897-0C9C-41C8-9B8F-8A398C8358A5}" type="TxLink">
            <a:rPr lang="en-US" sz="1600" b="0" i="0" u="none" strike="noStrike">
              <a:solidFill>
                <a:schemeClr val="bg1"/>
              </a:solidFill>
              <a:latin typeface="CALIBRI"/>
              <a:cs typeface="CALIBRI"/>
            </a:rPr>
            <a:pPr/>
            <a:t>Caracolitos, S.A. de C.V.</a:t>
          </a:fld>
          <a:endParaRPr lang="fr-CA" sz="1600">
            <a:solidFill>
              <a:schemeClr val="bg1"/>
            </a:solidFill>
          </a:endParaRPr>
        </a:p>
      </xdr:txBody>
    </xdr:sp>
    <xdr:clientData/>
  </xdr:oneCellAnchor>
  <xdr:oneCellAnchor>
    <xdr:from>
      <xdr:col>2</xdr:col>
      <xdr:colOff>89535</xdr:colOff>
      <xdr:row>7</xdr:row>
      <xdr:rowOff>180975</xdr:rowOff>
    </xdr:from>
    <xdr:ext cx="10111740" cy="280205"/>
    <xdr:sp macro="" textlink="Settings!C17">
      <xdr:nvSpPr>
        <xdr:cNvPr id="10" name="TextBox 9">
          <a:extLst>
            <a:ext uri="{FF2B5EF4-FFF2-40B4-BE49-F238E27FC236}">
              <a16:creationId xmlns:a16="http://schemas.microsoft.com/office/drawing/2014/main" id="{F468B834-48F2-47CE-9578-363A501E0A34}"/>
            </a:ext>
          </a:extLst>
        </xdr:cNvPr>
        <xdr:cNvSpPr txBox="1"/>
      </xdr:nvSpPr>
      <xdr:spPr>
        <a:xfrm>
          <a:off x="375285" y="2190750"/>
          <a:ext cx="1011174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43473C79-A42B-4CA7-95BC-B05AFDEA304C}" type="TxLink">
            <a:rPr lang="en-US" sz="1200" b="0" i="0" u="none" strike="noStrike">
              <a:solidFill>
                <a:schemeClr val="bg1"/>
              </a:solidFill>
              <a:latin typeface="CALIBRI"/>
              <a:cs typeface="CALIBRI"/>
            </a:rPr>
            <a:pPr/>
            <a:t>Niños siempre sonrientes</a:t>
          </a:fld>
          <a:endParaRPr lang="fr-CA" sz="1200">
            <a:solidFill>
              <a:schemeClr val="bg1"/>
            </a:solidFill>
          </a:endParaRPr>
        </a:p>
      </xdr:txBody>
    </xdr:sp>
    <xdr:clientData/>
  </xdr:oneCellAnchor>
  <xdr:oneCellAnchor>
    <xdr:from>
      <xdr:col>1</xdr:col>
      <xdr:colOff>53340</xdr:colOff>
      <xdr:row>40</xdr:row>
      <xdr:rowOff>160020</xdr:rowOff>
    </xdr:from>
    <xdr:ext cx="525016" cy="374141"/>
    <xdr:sp macro="" textlink="">
      <xdr:nvSpPr>
        <xdr:cNvPr id="17" name="TextBox 16">
          <a:extLst>
            <a:ext uri="{FF2B5EF4-FFF2-40B4-BE49-F238E27FC236}">
              <a16:creationId xmlns:a16="http://schemas.microsoft.com/office/drawing/2014/main" id="{A113ADD0-EEAD-430F-9539-622C5F380115}"/>
            </a:ext>
          </a:extLst>
        </xdr:cNvPr>
        <xdr:cNvSpPr txBox="1"/>
      </xdr:nvSpPr>
      <xdr:spPr>
        <a:xfrm>
          <a:off x="1943100" y="11727180"/>
          <a:ext cx="52501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800">
              <a:solidFill>
                <a:srgbClr val="2B353E"/>
              </a:solidFill>
            </a:rPr>
            <a:t>01</a:t>
          </a:r>
          <a:r>
            <a:rPr lang="fr-CA" sz="1800" baseline="0">
              <a:solidFill>
                <a:srgbClr val="2B353E"/>
              </a:solidFill>
            </a:rPr>
            <a:t>|</a:t>
          </a:r>
          <a:endParaRPr lang="fr-CA" sz="1800">
            <a:solidFill>
              <a:srgbClr val="2B353E"/>
            </a:solidFill>
          </a:endParaRPr>
        </a:p>
      </xdr:txBody>
    </xdr:sp>
    <xdr:clientData/>
  </xdr:oneCellAnchor>
  <xdr:oneCellAnchor>
    <xdr:from>
      <xdr:col>2</xdr:col>
      <xdr:colOff>312420</xdr:colOff>
      <xdr:row>40</xdr:row>
      <xdr:rowOff>152400</xdr:rowOff>
    </xdr:from>
    <xdr:ext cx="2987040" cy="374141"/>
    <xdr:sp macro="" textlink="Statement!B10:G10">
      <xdr:nvSpPr>
        <xdr:cNvPr id="18" name="TextBox 17">
          <a:extLst>
            <a:ext uri="{FF2B5EF4-FFF2-40B4-BE49-F238E27FC236}">
              <a16:creationId xmlns:a16="http://schemas.microsoft.com/office/drawing/2014/main" id="{1C6189C6-D9DA-4D31-8721-D3818EC248A6}"/>
            </a:ext>
          </a:extLst>
        </xdr:cNvPr>
        <xdr:cNvSpPr txBox="1"/>
      </xdr:nvSpPr>
      <xdr:spPr>
        <a:xfrm>
          <a:off x="2308860" y="11719560"/>
          <a:ext cx="2987040"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ECA11A32-BE19-4520-913C-8FC056DB6BE3}" type="TxLink">
            <a:rPr lang="en-US" sz="1800" b="0" i="0" u="none" strike="noStrike">
              <a:solidFill>
                <a:srgbClr val="2B353E"/>
              </a:solidFill>
              <a:latin typeface="Calibri"/>
              <a:cs typeface="Calibri"/>
            </a:rPr>
            <a:pPr/>
            <a:t>Visión</a:t>
          </a:fld>
          <a:endParaRPr lang="fr-CA" sz="1800">
            <a:solidFill>
              <a:srgbClr val="2B353E"/>
            </a:solidFill>
          </a:endParaRPr>
        </a:p>
      </xdr:txBody>
    </xdr:sp>
    <xdr:clientData/>
  </xdr:oneCellAnchor>
  <xdr:oneCellAnchor>
    <xdr:from>
      <xdr:col>1</xdr:col>
      <xdr:colOff>60960</xdr:colOff>
      <xdr:row>43</xdr:row>
      <xdr:rowOff>228600</xdr:rowOff>
    </xdr:from>
    <xdr:ext cx="525016" cy="374141"/>
    <xdr:sp macro="" textlink="">
      <xdr:nvSpPr>
        <xdr:cNvPr id="19" name="TextBox 18">
          <a:extLst>
            <a:ext uri="{FF2B5EF4-FFF2-40B4-BE49-F238E27FC236}">
              <a16:creationId xmlns:a16="http://schemas.microsoft.com/office/drawing/2014/main" id="{C49D7CB6-C93E-45BE-8B5D-FDD90FBE6F63}"/>
            </a:ext>
          </a:extLst>
        </xdr:cNvPr>
        <xdr:cNvSpPr txBox="1"/>
      </xdr:nvSpPr>
      <xdr:spPr>
        <a:xfrm>
          <a:off x="1950720" y="12550140"/>
          <a:ext cx="52501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800">
              <a:solidFill>
                <a:srgbClr val="2B353E"/>
              </a:solidFill>
            </a:rPr>
            <a:t>02</a:t>
          </a:r>
          <a:r>
            <a:rPr lang="fr-CA" sz="1800" baseline="0">
              <a:solidFill>
                <a:srgbClr val="2B353E"/>
              </a:solidFill>
            </a:rPr>
            <a:t>|</a:t>
          </a:r>
          <a:endParaRPr lang="fr-CA" sz="1800">
            <a:solidFill>
              <a:srgbClr val="2B353E"/>
            </a:solidFill>
          </a:endParaRPr>
        </a:p>
      </xdr:txBody>
    </xdr:sp>
    <xdr:clientData/>
  </xdr:oneCellAnchor>
  <xdr:oneCellAnchor>
    <xdr:from>
      <xdr:col>2</xdr:col>
      <xdr:colOff>304800</xdr:colOff>
      <xdr:row>43</xdr:row>
      <xdr:rowOff>228600</xdr:rowOff>
    </xdr:from>
    <xdr:ext cx="3291840" cy="374141"/>
    <xdr:sp macro="" textlink="Statement!B16">
      <xdr:nvSpPr>
        <xdr:cNvPr id="20" name="TextBox 19">
          <a:extLst>
            <a:ext uri="{FF2B5EF4-FFF2-40B4-BE49-F238E27FC236}">
              <a16:creationId xmlns:a16="http://schemas.microsoft.com/office/drawing/2014/main" id="{357C84B7-DC1B-4930-AA28-783054D0D9C9}"/>
            </a:ext>
          </a:extLst>
        </xdr:cNvPr>
        <xdr:cNvSpPr txBox="1"/>
      </xdr:nvSpPr>
      <xdr:spPr>
        <a:xfrm>
          <a:off x="2301240" y="9784080"/>
          <a:ext cx="3291840"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8E39E848-D0F7-4D75-B33F-0F6CCDD64D66}" type="TxLink">
            <a:rPr lang="en-US" sz="1800" b="0" i="0" u="none" strike="noStrike">
              <a:solidFill>
                <a:srgbClr val="2B353E"/>
              </a:solidFill>
              <a:latin typeface="Calibri"/>
              <a:cs typeface="Calibri"/>
            </a:rPr>
            <a:pPr/>
            <a:t>Misión</a:t>
          </a:fld>
          <a:endParaRPr lang="fr-CA" sz="1800">
            <a:solidFill>
              <a:srgbClr val="2B353E"/>
            </a:solidFill>
          </a:endParaRPr>
        </a:p>
      </xdr:txBody>
    </xdr:sp>
    <xdr:clientData/>
  </xdr:oneCellAnchor>
  <xdr:oneCellAnchor>
    <xdr:from>
      <xdr:col>1</xdr:col>
      <xdr:colOff>60960</xdr:colOff>
      <xdr:row>47</xdr:row>
      <xdr:rowOff>175260</xdr:rowOff>
    </xdr:from>
    <xdr:ext cx="525016" cy="374141"/>
    <xdr:sp macro="" textlink="">
      <xdr:nvSpPr>
        <xdr:cNvPr id="23" name="TextBox 22">
          <a:extLst>
            <a:ext uri="{FF2B5EF4-FFF2-40B4-BE49-F238E27FC236}">
              <a16:creationId xmlns:a16="http://schemas.microsoft.com/office/drawing/2014/main" id="{6C6FBE59-1882-4DFA-BB8E-EEF9A8CCD26E}"/>
            </a:ext>
          </a:extLst>
        </xdr:cNvPr>
        <xdr:cNvSpPr txBox="1"/>
      </xdr:nvSpPr>
      <xdr:spPr>
        <a:xfrm>
          <a:off x="1950720" y="13502640"/>
          <a:ext cx="52501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800">
              <a:solidFill>
                <a:srgbClr val="2B353E"/>
              </a:solidFill>
            </a:rPr>
            <a:t>03</a:t>
          </a:r>
          <a:r>
            <a:rPr lang="fr-CA" sz="1800" baseline="0">
              <a:solidFill>
                <a:srgbClr val="2B353E"/>
              </a:solidFill>
            </a:rPr>
            <a:t>|</a:t>
          </a:r>
          <a:endParaRPr lang="fr-CA" sz="1800">
            <a:solidFill>
              <a:srgbClr val="2B353E"/>
            </a:solidFill>
          </a:endParaRPr>
        </a:p>
      </xdr:txBody>
    </xdr:sp>
    <xdr:clientData/>
  </xdr:oneCellAnchor>
  <xdr:oneCellAnchor>
    <xdr:from>
      <xdr:col>2</xdr:col>
      <xdr:colOff>320040</xdr:colOff>
      <xdr:row>47</xdr:row>
      <xdr:rowOff>205740</xdr:rowOff>
    </xdr:from>
    <xdr:ext cx="3383280" cy="342786"/>
    <xdr:sp macro="" textlink="Statement!B22">
      <xdr:nvSpPr>
        <xdr:cNvPr id="24" name="TextBox 23">
          <a:extLst>
            <a:ext uri="{FF2B5EF4-FFF2-40B4-BE49-F238E27FC236}">
              <a16:creationId xmlns:a16="http://schemas.microsoft.com/office/drawing/2014/main" id="{E9A9A861-F192-4490-96F3-8D942C3CB67B}"/>
            </a:ext>
          </a:extLst>
        </xdr:cNvPr>
        <xdr:cNvSpPr txBox="1"/>
      </xdr:nvSpPr>
      <xdr:spPr>
        <a:xfrm>
          <a:off x="2316480" y="10767060"/>
          <a:ext cx="33832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CE96D399-A329-4717-AAE9-FFAA8B5158EF}" type="TxLink">
            <a:rPr lang="en-US" sz="1600" b="0" i="0" u="none" strike="noStrike">
              <a:solidFill>
                <a:srgbClr val="2B353E"/>
              </a:solidFill>
              <a:latin typeface="Calibri"/>
              <a:cs typeface="Calibri"/>
            </a:rPr>
            <a:pPr/>
            <a:t>Valores</a:t>
          </a:fld>
          <a:endParaRPr lang="fr-CA" sz="1600">
            <a:solidFill>
              <a:srgbClr val="2B353E"/>
            </a:solidFill>
          </a:endParaRPr>
        </a:p>
      </xdr:txBody>
    </xdr:sp>
    <xdr:clientData/>
  </xdr:oneCellAnchor>
  <xdr:oneCellAnchor>
    <xdr:from>
      <xdr:col>1</xdr:col>
      <xdr:colOff>78740</xdr:colOff>
      <xdr:row>52</xdr:row>
      <xdr:rowOff>213360</xdr:rowOff>
    </xdr:from>
    <xdr:ext cx="525016" cy="374141"/>
    <xdr:sp macro="" textlink="">
      <xdr:nvSpPr>
        <xdr:cNvPr id="25" name="TextBox 24">
          <a:extLst>
            <a:ext uri="{FF2B5EF4-FFF2-40B4-BE49-F238E27FC236}">
              <a16:creationId xmlns:a16="http://schemas.microsoft.com/office/drawing/2014/main" id="{85974B07-4B26-47A6-B0FE-466D3A7F3BEC}"/>
            </a:ext>
          </a:extLst>
        </xdr:cNvPr>
        <xdr:cNvSpPr txBox="1"/>
      </xdr:nvSpPr>
      <xdr:spPr>
        <a:xfrm>
          <a:off x="1968500" y="12031980"/>
          <a:ext cx="52501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800">
              <a:solidFill>
                <a:srgbClr val="2B353E"/>
              </a:solidFill>
            </a:rPr>
            <a:t>04</a:t>
          </a:r>
          <a:r>
            <a:rPr lang="fr-CA" sz="1800" baseline="0">
              <a:solidFill>
                <a:srgbClr val="2B353E"/>
              </a:solidFill>
            </a:rPr>
            <a:t>|</a:t>
          </a:r>
          <a:endParaRPr lang="fr-CA" sz="1800">
            <a:solidFill>
              <a:srgbClr val="2B353E"/>
            </a:solidFill>
          </a:endParaRPr>
        </a:p>
      </xdr:txBody>
    </xdr:sp>
    <xdr:clientData/>
  </xdr:oneCellAnchor>
  <xdr:oneCellAnchor>
    <xdr:from>
      <xdr:col>2</xdr:col>
      <xdr:colOff>337820</xdr:colOff>
      <xdr:row>52</xdr:row>
      <xdr:rowOff>238760</xdr:rowOff>
    </xdr:from>
    <xdr:ext cx="4366260" cy="342786"/>
    <xdr:sp macro="" textlink="Lan!F38">
      <xdr:nvSpPr>
        <xdr:cNvPr id="26" name="TextBox 25">
          <a:extLst>
            <a:ext uri="{FF2B5EF4-FFF2-40B4-BE49-F238E27FC236}">
              <a16:creationId xmlns:a16="http://schemas.microsoft.com/office/drawing/2014/main" id="{7FE11738-6CC5-4758-9E5A-0102211BC8AC}"/>
            </a:ext>
          </a:extLst>
        </xdr:cNvPr>
        <xdr:cNvSpPr txBox="1"/>
      </xdr:nvSpPr>
      <xdr:spPr>
        <a:xfrm>
          <a:off x="2334260" y="12057380"/>
          <a:ext cx="436626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D10251C5-AEB1-4C00-BC25-0A5A154498E9}" type="TxLink">
            <a:rPr lang="en-US" sz="1600" b="0" i="0" u="none" strike="noStrike">
              <a:solidFill>
                <a:srgbClr val="2B353E"/>
              </a:solidFill>
              <a:latin typeface="CALIBRI"/>
              <a:cs typeface="CALIBRI"/>
            </a:rPr>
            <a:pPr/>
            <a:t>Metas estratégicas</a:t>
          </a:fld>
          <a:endParaRPr lang="fr-CA" sz="1600">
            <a:solidFill>
              <a:srgbClr val="2B353E"/>
            </a:solidFill>
          </a:endParaRPr>
        </a:p>
      </xdr:txBody>
    </xdr:sp>
    <xdr:clientData/>
  </xdr:oneCellAnchor>
  <xdr:oneCellAnchor>
    <xdr:from>
      <xdr:col>1</xdr:col>
      <xdr:colOff>40640</xdr:colOff>
      <xdr:row>69</xdr:row>
      <xdr:rowOff>68580</xdr:rowOff>
    </xdr:from>
    <xdr:ext cx="525016" cy="374141"/>
    <xdr:sp macro="" textlink="">
      <xdr:nvSpPr>
        <xdr:cNvPr id="16" name="TextBox 15">
          <a:extLst>
            <a:ext uri="{FF2B5EF4-FFF2-40B4-BE49-F238E27FC236}">
              <a16:creationId xmlns:a16="http://schemas.microsoft.com/office/drawing/2014/main" id="{376A2EEF-519D-4E4E-898F-0C4D4EF5C4D8}"/>
            </a:ext>
          </a:extLst>
        </xdr:cNvPr>
        <xdr:cNvSpPr txBox="1"/>
      </xdr:nvSpPr>
      <xdr:spPr>
        <a:xfrm>
          <a:off x="1930400" y="15872460"/>
          <a:ext cx="52501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800">
              <a:solidFill>
                <a:srgbClr val="2B353E"/>
              </a:solidFill>
            </a:rPr>
            <a:t>05</a:t>
          </a:r>
          <a:r>
            <a:rPr lang="fr-CA" sz="1800" baseline="0">
              <a:solidFill>
                <a:srgbClr val="2B353E"/>
              </a:solidFill>
            </a:rPr>
            <a:t>|</a:t>
          </a:r>
          <a:endParaRPr lang="fr-CA" sz="1800">
            <a:solidFill>
              <a:srgbClr val="2B353E"/>
            </a:solidFill>
          </a:endParaRPr>
        </a:p>
      </xdr:txBody>
    </xdr:sp>
    <xdr:clientData/>
  </xdr:oneCellAnchor>
  <xdr:oneCellAnchor>
    <xdr:from>
      <xdr:col>2</xdr:col>
      <xdr:colOff>299720</xdr:colOff>
      <xdr:row>69</xdr:row>
      <xdr:rowOff>93980</xdr:rowOff>
    </xdr:from>
    <xdr:ext cx="4366260" cy="342786"/>
    <xdr:sp macro="" textlink="Lan!F45">
      <xdr:nvSpPr>
        <xdr:cNvPr id="21" name="TextBox 20">
          <a:extLst>
            <a:ext uri="{FF2B5EF4-FFF2-40B4-BE49-F238E27FC236}">
              <a16:creationId xmlns:a16="http://schemas.microsoft.com/office/drawing/2014/main" id="{B8109852-8AA0-4679-A883-66F478329210}"/>
            </a:ext>
          </a:extLst>
        </xdr:cNvPr>
        <xdr:cNvSpPr txBox="1"/>
      </xdr:nvSpPr>
      <xdr:spPr>
        <a:xfrm>
          <a:off x="2296160" y="15897860"/>
          <a:ext cx="436626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DFF643E-DA8D-4916-BC29-E77110975188}" type="TxLink">
            <a:rPr lang="en-US" sz="1600" b="0" i="0" u="none" strike="noStrike">
              <a:solidFill>
                <a:srgbClr val="2B353E"/>
              </a:solidFill>
              <a:latin typeface="CALIBRI"/>
              <a:cs typeface="CALIBRI"/>
            </a:rPr>
            <a:pPr/>
            <a:t>Objetivos</a:t>
          </a:fld>
          <a:endParaRPr lang="fr-CA" sz="1600">
            <a:solidFill>
              <a:srgbClr val="2B353E"/>
            </a:solidFill>
          </a:endParaRPr>
        </a:p>
      </xdr:txBody>
    </xdr:sp>
    <xdr:clientData/>
  </xdr:oneCellAnchor>
  <xdr:oneCellAnchor>
    <xdr:from>
      <xdr:col>1</xdr:col>
      <xdr:colOff>20320</xdr:colOff>
      <xdr:row>99</xdr:row>
      <xdr:rowOff>175260</xdr:rowOff>
    </xdr:from>
    <xdr:ext cx="525016" cy="374141"/>
    <xdr:sp macro="" textlink="">
      <xdr:nvSpPr>
        <xdr:cNvPr id="22" name="TextBox 21">
          <a:extLst>
            <a:ext uri="{FF2B5EF4-FFF2-40B4-BE49-F238E27FC236}">
              <a16:creationId xmlns:a16="http://schemas.microsoft.com/office/drawing/2014/main" id="{AD17F598-FEFE-475E-AB33-FB1382630314}"/>
            </a:ext>
          </a:extLst>
        </xdr:cNvPr>
        <xdr:cNvSpPr txBox="1"/>
      </xdr:nvSpPr>
      <xdr:spPr>
        <a:xfrm>
          <a:off x="1910080" y="23522940"/>
          <a:ext cx="52501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800">
              <a:solidFill>
                <a:srgbClr val="2B353E"/>
              </a:solidFill>
            </a:rPr>
            <a:t>06</a:t>
          </a:r>
          <a:r>
            <a:rPr lang="fr-CA" sz="1800" baseline="0">
              <a:solidFill>
                <a:srgbClr val="2B353E"/>
              </a:solidFill>
            </a:rPr>
            <a:t>|</a:t>
          </a:r>
          <a:endParaRPr lang="fr-CA" sz="1800">
            <a:solidFill>
              <a:srgbClr val="2B353E"/>
            </a:solidFill>
          </a:endParaRPr>
        </a:p>
      </xdr:txBody>
    </xdr:sp>
    <xdr:clientData/>
  </xdr:oneCellAnchor>
  <xdr:oneCellAnchor>
    <xdr:from>
      <xdr:col>2</xdr:col>
      <xdr:colOff>261620</xdr:colOff>
      <xdr:row>99</xdr:row>
      <xdr:rowOff>177800</xdr:rowOff>
    </xdr:from>
    <xdr:ext cx="4366260" cy="374141"/>
    <xdr:sp macro="" textlink="Lan!F119">
      <xdr:nvSpPr>
        <xdr:cNvPr id="27" name="TextBox 26">
          <a:extLst>
            <a:ext uri="{FF2B5EF4-FFF2-40B4-BE49-F238E27FC236}">
              <a16:creationId xmlns:a16="http://schemas.microsoft.com/office/drawing/2014/main" id="{CFFD0703-E44F-47FB-B732-4C931F38175C}"/>
            </a:ext>
          </a:extLst>
        </xdr:cNvPr>
        <xdr:cNvSpPr txBox="1"/>
      </xdr:nvSpPr>
      <xdr:spPr>
        <a:xfrm>
          <a:off x="2258060" y="23525480"/>
          <a:ext cx="4366260"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7715B11-553D-4632-9446-F5D87027270A}" type="TxLink">
            <a:rPr lang="en-US" sz="1800" b="0" i="0" u="none" strike="noStrike">
              <a:solidFill>
                <a:schemeClr val="tx1">
                  <a:lumMod val="75000"/>
                  <a:lumOff val="25000"/>
                </a:schemeClr>
              </a:solidFill>
              <a:latin typeface="CALIBRI"/>
              <a:cs typeface="CALIBRI"/>
            </a:rPr>
            <a:pPr/>
            <a:t>Resumen de desempeño</a:t>
          </a:fld>
          <a:endParaRPr lang="fr-CA" sz="1800">
            <a:solidFill>
              <a:schemeClr val="tx1">
                <a:lumMod val="75000"/>
                <a:lumOff val="25000"/>
              </a:schemeClr>
            </a:solidFill>
          </a:endParaRPr>
        </a:p>
      </xdr:txBody>
    </xdr:sp>
    <xdr:clientData/>
  </xdr:oneCellAnchor>
  <xdr:twoCellAnchor editAs="absolute">
    <xdr:from>
      <xdr:col>5</xdr:col>
      <xdr:colOff>0</xdr:colOff>
      <xdr:row>0</xdr:row>
      <xdr:rowOff>0</xdr:rowOff>
    </xdr:from>
    <xdr:to>
      <xdr:col>8</xdr:col>
      <xdr:colOff>40299</xdr:colOff>
      <xdr:row>0</xdr:row>
      <xdr:rowOff>493258</xdr:rowOff>
    </xdr:to>
    <xdr:sp macro="" textlink="Lan!F11">
      <xdr:nvSpPr>
        <xdr:cNvPr id="36" name="TextBox 3">
          <a:hlinkClick xmlns:r="http://schemas.openxmlformats.org/officeDocument/2006/relationships" r:id="rId1"/>
          <a:extLst>
            <a:ext uri="{FF2B5EF4-FFF2-40B4-BE49-F238E27FC236}">
              <a16:creationId xmlns:a16="http://schemas.microsoft.com/office/drawing/2014/main" id="{ED4C6BDC-5128-4D46-BC3D-6D1E36BB7BB3}"/>
            </a:ext>
          </a:extLst>
        </xdr:cNvPr>
        <xdr:cNvSpPr txBox="1"/>
      </xdr:nvSpPr>
      <xdr:spPr>
        <a:xfrm>
          <a:off x="19431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8</xdr:col>
      <xdr:colOff>91587</xdr:colOff>
      <xdr:row>0</xdr:row>
      <xdr:rowOff>0</xdr:rowOff>
    </xdr:from>
    <xdr:to>
      <xdr:col>12</xdr:col>
      <xdr:colOff>84260</xdr:colOff>
      <xdr:row>0</xdr:row>
      <xdr:rowOff>493258</xdr:rowOff>
    </xdr:to>
    <xdr:sp macro="" textlink="Lan!F29">
      <xdr:nvSpPr>
        <xdr:cNvPr id="37" name="TextBox 3">
          <a:hlinkClick xmlns:r="http://schemas.openxmlformats.org/officeDocument/2006/relationships" r:id="rId2"/>
          <a:extLst>
            <a:ext uri="{FF2B5EF4-FFF2-40B4-BE49-F238E27FC236}">
              <a16:creationId xmlns:a16="http://schemas.microsoft.com/office/drawing/2014/main" id="{26ED376B-49B7-4A08-9146-01C4256B4635}"/>
            </a:ext>
          </a:extLst>
        </xdr:cNvPr>
        <xdr:cNvSpPr txBox="1"/>
      </xdr:nvSpPr>
      <xdr:spPr>
        <a:xfrm>
          <a:off x="3853962" y="0"/>
          <a:ext cx="2240573"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12</xdr:col>
      <xdr:colOff>130145</xdr:colOff>
      <xdr:row>0</xdr:row>
      <xdr:rowOff>0</xdr:rowOff>
    </xdr:from>
    <xdr:to>
      <xdr:col>15</xdr:col>
      <xdr:colOff>102577</xdr:colOff>
      <xdr:row>0</xdr:row>
      <xdr:rowOff>493258</xdr:rowOff>
    </xdr:to>
    <xdr:sp macro="" textlink="Lan!F83">
      <xdr:nvSpPr>
        <xdr:cNvPr id="38" name="TextBox 3">
          <a:hlinkClick xmlns:r="http://schemas.openxmlformats.org/officeDocument/2006/relationships" r:id="rId3"/>
          <a:extLst>
            <a:ext uri="{FF2B5EF4-FFF2-40B4-BE49-F238E27FC236}">
              <a16:creationId xmlns:a16="http://schemas.microsoft.com/office/drawing/2014/main" id="{C6B74E2C-4C50-47D5-90FE-655475433A58}"/>
            </a:ext>
          </a:extLst>
        </xdr:cNvPr>
        <xdr:cNvSpPr txBox="1"/>
      </xdr:nvSpPr>
      <xdr:spPr>
        <a:xfrm>
          <a:off x="61404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16</xdr:col>
      <xdr:colOff>41211</xdr:colOff>
      <xdr:row>0</xdr:row>
      <xdr:rowOff>0</xdr:rowOff>
    </xdr:from>
    <xdr:to>
      <xdr:col>19</xdr:col>
      <xdr:colOff>375868</xdr:colOff>
      <xdr:row>0</xdr:row>
      <xdr:rowOff>493258</xdr:rowOff>
    </xdr:to>
    <xdr:sp macro="" textlink="Lan!F86">
      <xdr:nvSpPr>
        <xdr:cNvPr id="39" name="TextBox 3">
          <a:hlinkClick xmlns:r="http://schemas.openxmlformats.org/officeDocument/2006/relationships" r:id="rId4"/>
          <a:extLst>
            <a:ext uri="{FF2B5EF4-FFF2-40B4-BE49-F238E27FC236}">
              <a16:creationId xmlns:a16="http://schemas.microsoft.com/office/drawing/2014/main" id="{9CF75298-8165-46D6-B8F5-74931B83C9F9}"/>
            </a:ext>
          </a:extLst>
        </xdr:cNvPr>
        <xdr:cNvSpPr txBox="1"/>
      </xdr:nvSpPr>
      <xdr:spPr>
        <a:xfrm>
          <a:off x="7975536" y="0"/>
          <a:ext cx="1992007" cy="493258"/>
        </a:xfrm>
        <a:prstGeom prst="rect">
          <a:avLst/>
        </a:prstGeom>
        <a:solidFill>
          <a:srgbClr val="07214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5</xdr:col>
      <xdr:colOff>0</xdr:colOff>
      <xdr:row>0</xdr:row>
      <xdr:rowOff>0</xdr:rowOff>
    </xdr:from>
    <xdr:to>
      <xdr:col>5</xdr:col>
      <xdr:colOff>498231</xdr:colOff>
      <xdr:row>0</xdr:row>
      <xdr:rowOff>481496</xdr:rowOff>
    </xdr:to>
    <xdr:pic>
      <xdr:nvPicPr>
        <xdr:cNvPr id="40" name="Imagen 39"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9D688C6C-88B6-452D-BFDE-152CB00A3A38}"/>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9431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9</xdr:col>
      <xdr:colOff>8793</xdr:colOff>
      <xdr:row>0</xdr:row>
      <xdr:rowOff>14654</xdr:rowOff>
    </xdr:from>
    <xdr:to>
      <xdr:col>9</xdr:col>
      <xdr:colOff>477714</xdr:colOff>
      <xdr:row>0</xdr:row>
      <xdr:rowOff>485740</xdr:rowOff>
    </xdr:to>
    <xdr:pic>
      <xdr:nvPicPr>
        <xdr:cNvPr id="41" name="Imagen 40"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3511E3C4-572A-473E-9B82-0FB5B50A631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759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12</xdr:col>
      <xdr:colOff>150202</xdr:colOff>
      <xdr:row>0</xdr:row>
      <xdr:rowOff>0</xdr:rowOff>
    </xdr:from>
    <xdr:to>
      <xdr:col>12</xdr:col>
      <xdr:colOff>545855</xdr:colOff>
      <xdr:row>0</xdr:row>
      <xdr:rowOff>476812</xdr:rowOff>
    </xdr:to>
    <xdr:pic>
      <xdr:nvPicPr>
        <xdr:cNvPr id="42" name="Imagen 41" descr="report - Image Storage - Reedsburg, Wisconsin">
          <a:hlinkClick xmlns:r="http://schemas.openxmlformats.org/officeDocument/2006/relationships" r:id="rId3"/>
          <a:extLst>
            <a:ext uri="{FF2B5EF4-FFF2-40B4-BE49-F238E27FC236}">
              <a16:creationId xmlns:a16="http://schemas.microsoft.com/office/drawing/2014/main" id="{3D2FB2D8-19B3-43B2-8921-78F75C6BCC68}"/>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1604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16</xdr:col>
      <xdr:colOff>56415</xdr:colOff>
      <xdr:row>0</xdr:row>
      <xdr:rowOff>14654</xdr:rowOff>
    </xdr:from>
    <xdr:to>
      <xdr:col>17</xdr:col>
      <xdr:colOff>82792</xdr:colOff>
      <xdr:row>0</xdr:row>
      <xdr:rowOff>492340</xdr:rowOff>
    </xdr:to>
    <xdr:pic>
      <xdr:nvPicPr>
        <xdr:cNvPr id="43" name="Imagen 42" descr="Dashboards Icon #145224 - Free Icons Library">
          <a:hlinkClick xmlns:r="http://schemas.openxmlformats.org/officeDocument/2006/relationships" r:id="rId4"/>
          <a:extLst>
            <a:ext uri="{FF2B5EF4-FFF2-40B4-BE49-F238E27FC236}">
              <a16:creationId xmlns:a16="http://schemas.microsoft.com/office/drawing/2014/main" id="{137E3A15-00F3-4A9E-96F4-9B6DB3ABBEAB}"/>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9907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104774</xdr:colOff>
      <xdr:row>16</xdr:row>
      <xdr:rowOff>0</xdr:rowOff>
    </xdr:from>
    <xdr:to>
      <xdr:col>21</xdr:col>
      <xdr:colOff>538751</xdr:colOff>
      <xdr:row>35</xdr:row>
      <xdr:rowOff>95250</xdr:rowOff>
    </xdr:to>
    <xdr:pic>
      <xdr:nvPicPr>
        <xdr:cNvPr id="3" name="Imagen 2">
          <a:extLst>
            <a:ext uri="{FF2B5EF4-FFF2-40B4-BE49-F238E27FC236}">
              <a16:creationId xmlns:a16="http://schemas.microsoft.com/office/drawing/2014/main" id="{A1985053-0FF3-4762-9A3E-3883F862521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85749" y="4238625"/>
          <a:ext cx="10949577" cy="4800600"/>
        </a:xfrm>
        <a:prstGeom prst="rect">
          <a:avLst/>
        </a:prstGeom>
      </xdr:spPr>
    </xdr:pic>
    <xdr:clientData/>
  </xdr:twoCellAnchor>
  <xdr:twoCellAnchor>
    <xdr:from>
      <xdr:col>6</xdr:col>
      <xdr:colOff>276225</xdr:colOff>
      <xdr:row>1</xdr:row>
      <xdr:rowOff>9525</xdr:rowOff>
    </xdr:from>
    <xdr:to>
      <xdr:col>10</xdr:col>
      <xdr:colOff>323850</xdr:colOff>
      <xdr:row>1</xdr:row>
      <xdr:rowOff>312084</xdr:rowOff>
    </xdr:to>
    <xdr:sp macro="" textlink="Lan!$F$87">
      <xdr:nvSpPr>
        <xdr:cNvPr id="28" name="Rectángulo 27">
          <a:hlinkClick xmlns:r="http://schemas.openxmlformats.org/officeDocument/2006/relationships" r:id="rId4"/>
          <a:extLst>
            <a:ext uri="{FF2B5EF4-FFF2-40B4-BE49-F238E27FC236}">
              <a16:creationId xmlns:a16="http://schemas.microsoft.com/office/drawing/2014/main" id="{A061AE3F-BE45-4F54-A216-A01FF8020E52}"/>
            </a:ext>
          </a:extLst>
        </xdr:cNvPr>
        <xdr:cNvSpPr/>
      </xdr:nvSpPr>
      <xdr:spPr>
        <a:xfrm>
          <a:off x="2771775" y="504825"/>
          <a:ext cx="2133600"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7AD8277-68EB-4693-82FA-A19A2A72F1E1}" type="TxLink">
            <a:rPr lang="en-US" sz="1100" b="1" i="0" u="none" strike="noStrike">
              <a:solidFill>
                <a:schemeClr val="bg1"/>
              </a:solidFill>
              <a:latin typeface="CALIBRI"/>
              <a:cs typeface="CALIBRI"/>
            </a:rPr>
            <a:pPr algn="ctr"/>
            <a:t>4.1. Dashboard Plan Estratégico</a:t>
          </a:fld>
          <a:endParaRPr lang="en-US" sz="3200" b="1">
            <a:solidFill>
              <a:schemeClr val="bg1"/>
            </a:solidFill>
          </a:endParaRPr>
        </a:p>
      </xdr:txBody>
    </xdr:sp>
    <xdr:clientData/>
  </xdr:twoCellAnchor>
  <xdr:twoCellAnchor>
    <xdr:from>
      <xdr:col>10</xdr:col>
      <xdr:colOff>342900</xdr:colOff>
      <xdr:row>1</xdr:row>
      <xdr:rowOff>9525</xdr:rowOff>
    </xdr:from>
    <xdr:to>
      <xdr:col>13</xdr:col>
      <xdr:colOff>228600</xdr:colOff>
      <xdr:row>1</xdr:row>
      <xdr:rowOff>312084</xdr:rowOff>
    </xdr:to>
    <xdr:sp macro="" textlink="Lan!$F$88">
      <xdr:nvSpPr>
        <xdr:cNvPr id="29" name="Rectángulo 28">
          <a:hlinkClick xmlns:r="http://schemas.openxmlformats.org/officeDocument/2006/relationships" r:id="rId11"/>
          <a:extLst>
            <a:ext uri="{FF2B5EF4-FFF2-40B4-BE49-F238E27FC236}">
              <a16:creationId xmlns:a16="http://schemas.microsoft.com/office/drawing/2014/main" id="{CFD25C0B-2A06-42FA-B16A-8CD8176F7E21}"/>
            </a:ext>
          </a:extLst>
        </xdr:cNvPr>
        <xdr:cNvSpPr/>
      </xdr:nvSpPr>
      <xdr:spPr>
        <a:xfrm>
          <a:off x="4924425" y="504825"/>
          <a:ext cx="20288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D9E8B4F-8D8D-4525-A6FA-A87336E0A39F}" type="TxLink">
            <a:rPr lang="en-US" sz="1100" b="1" i="0" u="none" strike="noStrike">
              <a:solidFill>
                <a:schemeClr val="bg1"/>
              </a:solidFill>
              <a:latin typeface="CALIBRI"/>
              <a:cs typeface="CALIBRI"/>
            </a:rPr>
            <a:pPr algn="ctr"/>
            <a:t>4.2. Dashboard Plan de Acción</a:t>
          </a:fld>
          <a:endParaRPr lang="en-US" sz="3200" b="1">
            <a:solidFill>
              <a:schemeClr val="bg1"/>
            </a:solidFill>
          </a:endParaRPr>
        </a:p>
      </xdr:txBody>
    </xdr:sp>
    <xdr:clientData/>
  </xdr:twoCellAnchor>
  <xdr:twoCellAnchor>
    <xdr:from>
      <xdr:col>13</xdr:col>
      <xdr:colOff>247651</xdr:colOff>
      <xdr:row>1</xdr:row>
      <xdr:rowOff>9525</xdr:rowOff>
    </xdr:from>
    <xdr:to>
      <xdr:col>17</xdr:col>
      <xdr:colOff>123826</xdr:colOff>
      <xdr:row>1</xdr:row>
      <xdr:rowOff>312084</xdr:rowOff>
    </xdr:to>
    <xdr:sp macro="" textlink="Lan!$F$90">
      <xdr:nvSpPr>
        <xdr:cNvPr id="30" name="Rectángulo 29">
          <a:hlinkClick xmlns:r="http://schemas.openxmlformats.org/officeDocument/2006/relationships" r:id="rId12"/>
          <a:extLst>
            <a:ext uri="{FF2B5EF4-FFF2-40B4-BE49-F238E27FC236}">
              <a16:creationId xmlns:a16="http://schemas.microsoft.com/office/drawing/2014/main" id="{00A090C6-F753-4CBB-9FED-3E1B54F1E272}"/>
            </a:ext>
          </a:extLst>
        </xdr:cNvPr>
        <xdr:cNvSpPr/>
      </xdr:nvSpPr>
      <xdr:spPr>
        <a:xfrm>
          <a:off x="6972301" y="504825"/>
          <a:ext cx="1638300"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8A5D026-A8CE-4CAA-81D9-DFDF85BEC837}" type="TxLink">
            <a:rPr lang="en-US" sz="1100" b="1" i="0" u="none" strike="noStrike">
              <a:solidFill>
                <a:schemeClr val="tx1"/>
              </a:solidFill>
              <a:latin typeface="CALIBRI"/>
              <a:cs typeface="CALIBRI"/>
            </a:rPr>
            <a:pPr algn="ctr"/>
            <a:t>4.3. Presentación P. E.</a:t>
          </a:fld>
          <a:endParaRPr lang="en-US" sz="40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819150</xdr:colOff>
      <xdr:row>0</xdr:row>
      <xdr:rowOff>0</xdr:rowOff>
    </xdr:from>
    <xdr:to>
      <xdr:col>2</xdr:col>
      <xdr:colOff>2680189</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BE9D6D1F-DBD2-4FAC-BBEA-B5D547943D30}"/>
            </a:ext>
          </a:extLst>
        </xdr:cNvPr>
        <xdr:cNvSpPr txBox="1"/>
      </xdr:nvSpPr>
      <xdr:spPr>
        <a:xfrm>
          <a:off x="1581150" y="0"/>
          <a:ext cx="1861039"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2</xdr:col>
      <xdr:colOff>2731477</xdr:colOff>
      <xdr:row>0</xdr:row>
      <xdr:rowOff>0</xdr:rowOff>
    </xdr:from>
    <xdr:to>
      <xdr:col>4</xdr:col>
      <xdr:colOff>163391</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4A2E5830-49E6-4B05-A6D4-B5083EE84DF1}"/>
            </a:ext>
          </a:extLst>
        </xdr:cNvPr>
        <xdr:cNvSpPr txBox="1"/>
      </xdr:nvSpPr>
      <xdr:spPr>
        <a:xfrm>
          <a:off x="3493477" y="0"/>
          <a:ext cx="2242039"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4</xdr:col>
      <xdr:colOff>209276</xdr:colOff>
      <xdr:row>0</xdr:row>
      <xdr:rowOff>0</xdr:rowOff>
    </xdr:from>
    <xdr:to>
      <xdr:col>6</xdr:col>
      <xdr:colOff>478448</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AB2F81D7-90E4-4DF0-AA6E-5980C4EAA218}"/>
            </a:ext>
          </a:extLst>
        </xdr:cNvPr>
        <xdr:cNvSpPr txBox="1"/>
      </xdr:nvSpPr>
      <xdr:spPr>
        <a:xfrm>
          <a:off x="5781401" y="0"/>
          <a:ext cx="1793172"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6</xdr:col>
      <xdr:colOff>521857</xdr:colOff>
      <xdr:row>0</xdr:row>
      <xdr:rowOff>0</xdr:rowOff>
    </xdr:from>
    <xdr:to>
      <xdr:col>9</xdr:col>
      <xdr:colOff>229330</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2A10753B-48D4-4FD2-99A6-6981D9E7CFDF}"/>
            </a:ext>
          </a:extLst>
        </xdr:cNvPr>
        <xdr:cNvSpPr txBox="1"/>
      </xdr:nvSpPr>
      <xdr:spPr>
        <a:xfrm>
          <a:off x="7617982" y="0"/>
          <a:ext cx="1993473"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819150</xdr:colOff>
      <xdr:row>0</xdr:row>
      <xdr:rowOff>0</xdr:rowOff>
    </xdr:from>
    <xdr:to>
      <xdr:col>2</xdr:col>
      <xdr:colOff>1317381</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5C27CCC4-C74F-4437-9EF9-4D8B9CA6BE95}"/>
            </a:ext>
          </a:extLst>
        </xdr:cNvPr>
        <xdr:cNvPicPr>
          <a:picLocks noChangeAspect="1" noChangeArrowheads="1"/>
        </xdr:cNvPicPr>
      </xdr:nvPicPr>
      <xdr:blipFill rotWithShape="1">
        <a:blip xmlns:r="http://schemas.openxmlformats.org/officeDocument/2006/relationships" r:embed="rId5" cstate="print">
          <a:duotone>
            <a:schemeClr val="bg2">
              <a:shade val="45000"/>
              <a:satMod val="135000"/>
            </a:schemeClr>
            <a:prstClr val="white"/>
          </a:duotone>
          <a:extLst>
            <a:ext uri="{28A0092B-C50C-407E-A947-70E740481C1C}">
              <a14:useLocalDpi xmlns:a14="http://schemas.microsoft.com/office/drawing/2010/main" val="0"/>
            </a:ext>
          </a:extLst>
        </a:blip>
        <a:srcRect l="8555" r="8739" b="1493"/>
        <a:stretch/>
      </xdr:blipFill>
      <xdr:spPr bwMode="auto">
        <a:xfrm>
          <a:off x="158115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2753458</xdr:colOff>
      <xdr:row>0</xdr:row>
      <xdr:rowOff>14654</xdr:rowOff>
    </xdr:from>
    <xdr:to>
      <xdr:col>2</xdr:col>
      <xdr:colOff>3222379</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0AFF9B61-46C5-44A5-93BA-4BCF45ADD99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5458"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229333</xdr:colOff>
      <xdr:row>0</xdr:row>
      <xdr:rowOff>0</xdr:rowOff>
    </xdr:from>
    <xdr:to>
      <xdr:col>4</xdr:col>
      <xdr:colOff>624986</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9DDD41B7-F79C-4C99-95AD-0C69D2A5F998}"/>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801458"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537061</xdr:colOff>
      <xdr:row>0</xdr:row>
      <xdr:rowOff>14654</xdr:rowOff>
    </xdr:from>
    <xdr:to>
      <xdr:col>7</xdr:col>
      <xdr:colOff>353888</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193B8A9D-2731-4C96-8449-0CA6BEF77C91}"/>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633186"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1790700</xdr:colOff>
      <xdr:row>1</xdr:row>
      <xdr:rowOff>9525</xdr:rowOff>
    </xdr:from>
    <xdr:to>
      <xdr:col>2</xdr:col>
      <xdr:colOff>3169024</xdr:colOff>
      <xdr:row>1</xdr:row>
      <xdr:rowOff>312084</xdr:rowOff>
    </xdr:to>
    <xdr:sp macro="" textlink="Lan!F11">
      <xdr:nvSpPr>
        <xdr:cNvPr id="10" name="Rectángulo 9">
          <a:hlinkClick xmlns:r="http://schemas.openxmlformats.org/officeDocument/2006/relationships" r:id="rId1"/>
          <a:extLst>
            <a:ext uri="{FF2B5EF4-FFF2-40B4-BE49-F238E27FC236}">
              <a16:creationId xmlns:a16="http://schemas.microsoft.com/office/drawing/2014/main" id="{986104F7-9755-4480-8B53-1A56D7BC1A90}"/>
            </a:ext>
          </a:extLst>
        </xdr:cNvPr>
        <xdr:cNvSpPr/>
      </xdr:nvSpPr>
      <xdr:spPr>
        <a:xfrm>
          <a:off x="2552700" y="504825"/>
          <a:ext cx="1378324"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F4A4291-EC07-492D-8416-816EC53E087B}" type="TxLink">
            <a:rPr lang="en-US" sz="1100" b="1" i="0" u="none" strike="noStrike">
              <a:solidFill>
                <a:schemeClr val="bg1"/>
              </a:solidFill>
              <a:latin typeface="CALIBRI"/>
              <a:cs typeface="CALIBRI"/>
            </a:rPr>
            <a:pPr algn="ctr"/>
            <a:t>1. AJUSTES</a:t>
          </a:fld>
          <a:endParaRPr lang="en-US" sz="1400" b="1">
            <a:solidFill>
              <a:schemeClr val="bg1"/>
            </a:solidFill>
          </a:endParaRPr>
        </a:p>
      </xdr:txBody>
    </xdr:sp>
    <xdr:clientData/>
  </xdr:twoCellAnchor>
  <xdr:twoCellAnchor>
    <xdr:from>
      <xdr:col>2</xdr:col>
      <xdr:colOff>3185833</xdr:colOff>
      <xdr:row>1</xdr:row>
      <xdr:rowOff>9526</xdr:rowOff>
    </xdr:from>
    <xdr:to>
      <xdr:col>3</xdr:col>
      <xdr:colOff>630332</xdr:colOff>
      <xdr:row>1</xdr:row>
      <xdr:rowOff>312645</xdr:rowOff>
    </xdr:to>
    <xdr:sp macro="" textlink="Lan!F12">
      <xdr:nvSpPr>
        <xdr:cNvPr id="11" name="Rectángulo 10">
          <a:hlinkClick xmlns:r="http://schemas.openxmlformats.org/officeDocument/2006/relationships" r:id="rId10"/>
          <a:extLst>
            <a:ext uri="{FF2B5EF4-FFF2-40B4-BE49-F238E27FC236}">
              <a16:creationId xmlns:a16="http://schemas.microsoft.com/office/drawing/2014/main" id="{D65D2567-1F1B-4466-BDC1-F181FF091636}"/>
            </a:ext>
          </a:extLst>
        </xdr:cNvPr>
        <xdr:cNvSpPr/>
      </xdr:nvSpPr>
      <xdr:spPr>
        <a:xfrm>
          <a:off x="3947833" y="504826"/>
          <a:ext cx="1492624" cy="3031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5B779C3-D24A-4EDA-992F-42D5E87E954F}" type="TxLink">
            <a:rPr lang="en-US" sz="1100" b="1" i="0" u="none" strike="noStrike">
              <a:solidFill>
                <a:schemeClr val="tx1"/>
              </a:solidFill>
              <a:latin typeface="CALIBRI"/>
              <a:cs typeface="CALIBRI"/>
            </a:rPr>
            <a:pPr algn="ctr"/>
            <a:t>1.1. Áreas estratégicas</a:t>
          </a:fld>
          <a:endParaRPr lang="en-US" sz="1400" b="1">
            <a:solidFill>
              <a:schemeClr val="tx1"/>
            </a:solidFill>
          </a:endParaRPr>
        </a:p>
      </xdr:txBody>
    </xdr:sp>
    <xdr:clientData/>
  </xdr:twoCellAnchor>
  <xdr:twoCellAnchor>
    <xdr:from>
      <xdr:col>3</xdr:col>
      <xdr:colOff>648260</xdr:colOff>
      <xdr:row>1</xdr:row>
      <xdr:rowOff>9526</xdr:rowOff>
    </xdr:from>
    <xdr:to>
      <xdr:col>6</xdr:col>
      <xdr:colOff>438150</xdr:colOff>
      <xdr:row>1</xdr:row>
      <xdr:rowOff>312645</xdr:rowOff>
    </xdr:to>
    <xdr:sp macro="" textlink="Lan!F21">
      <xdr:nvSpPr>
        <xdr:cNvPr id="12" name="Rectángulo 11">
          <a:hlinkClick xmlns:r="http://schemas.openxmlformats.org/officeDocument/2006/relationships" r:id="rId11"/>
          <a:extLst>
            <a:ext uri="{FF2B5EF4-FFF2-40B4-BE49-F238E27FC236}">
              <a16:creationId xmlns:a16="http://schemas.microsoft.com/office/drawing/2014/main" id="{84498397-7327-4126-ABC4-4ED587DBB6E6}"/>
            </a:ext>
          </a:extLst>
        </xdr:cNvPr>
        <xdr:cNvSpPr/>
      </xdr:nvSpPr>
      <xdr:spPr>
        <a:xfrm>
          <a:off x="5458385" y="504826"/>
          <a:ext cx="2075890" cy="30311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3CB125C-7A34-4B6E-8B21-4BAC27A0130F}" type="TxLink">
            <a:rPr lang="en-US" sz="1100" b="1" i="0" u="none" strike="noStrike">
              <a:solidFill>
                <a:schemeClr val="bg1"/>
              </a:solidFill>
              <a:latin typeface="CALIBRI"/>
              <a:cs typeface="CALIBRI"/>
            </a:rPr>
            <a:pPr algn="ctr"/>
            <a:t>1.2. Gerentes | Administradores</a:t>
          </a:fld>
          <a:endParaRPr lang="en-US" sz="14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601980</xdr:colOff>
      <xdr:row>4</xdr:row>
      <xdr:rowOff>0</xdr:rowOff>
    </xdr:from>
    <xdr:ext cx="1440180" cy="297180"/>
    <xdr:sp macro="" textlink="Lan!F23">
      <xdr:nvSpPr>
        <xdr:cNvPr id="9" name="TextBox 8">
          <a:hlinkClick xmlns:r="http://schemas.openxmlformats.org/officeDocument/2006/relationships" r:id="rId1"/>
          <a:extLst>
            <a:ext uri="{FF2B5EF4-FFF2-40B4-BE49-F238E27FC236}">
              <a16:creationId xmlns:a16="http://schemas.microsoft.com/office/drawing/2014/main" id="{9508DDD4-6A84-42EA-A376-C8078275F143}"/>
            </a:ext>
          </a:extLst>
        </xdr:cNvPr>
        <xdr:cNvSpPr txBox="1"/>
      </xdr:nvSpPr>
      <xdr:spPr>
        <a:xfrm>
          <a:off x="5981700" y="685800"/>
          <a:ext cx="1440180" cy="297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DC60C90A-0146-46B9-BF71-2B713B12D27C}" type="TxLink">
            <a:rPr lang="en-US" sz="1000" b="0" i="0" u="none" strike="noStrike">
              <a:solidFill>
                <a:schemeClr val="bg1"/>
              </a:solidFill>
              <a:latin typeface="CALIBRI"/>
              <a:cs typeface="CALIBRI"/>
            </a:rPr>
            <a:pPr algn="ctr"/>
            <a:t>-</a:t>
          </a:fld>
          <a:endParaRPr lang="fr-CA" sz="1100" b="0" u="none">
            <a:solidFill>
              <a:schemeClr val="bg1"/>
            </a:solidFill>
          </a:endParaRPr>
        </a:p>
      </xdr:txBody>
    </xdr:sp>
    <xdr:clientData/>
  </xdr:oneCellAnchor>
  <xdr:twoCellAnchor editAs="absolute">
    <xdr:from>
      <xdr:col>2</xdr:col>
      <xdr:colOff>914400</xdr:colOff>
      <xdr:row>0</xdr:row>
      <xdr:rowOff>0</xdr:rowOff>
    </xdr:from>
    <xdr:to>
      <xdr:col>2</xdr:col>
      <xdr:colOff>2773974</xdr:colOff>
      <xdr:row>0</xdr:row>
      <xdr:rowOff>493258</xdr:rowOff>
    </xdr:to>
    <xdr:sp macro="" textlink="Lan!F11">
      <xdr:nvSpPr>
        <xdr:cNvPr id="3" name="TextBox 3">
          <a:hlinkClick xmlns:r="http://schemas.openxmlformats.org/officeDocument/2006/relationships" r:id="rId2"/>
          <a:extLst>
            <a:ext uri="{FF2B5EF4-FFF2-40B4-BE49-F238E27FC236}">
              <a16:creationId xmlns:a16="http://schemas.microsoft.com/office/drawing/2014/main" id="{819C5F9E-0692-4A86-A22C-11202E4086A0}"/>
            </a:ext>
          </a:extLst>
        </xdr:cNvPr>
        <xdr:cNvSpPr txBox="1"/>
      </xdr:nvSpPr>
      <xdr:spPr>
        <a:xfrm>
          <a:off x="1676400" y="0"/>
          <a:ext cx="1859574"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2</xdr:col>
      <xdr:colOff>2825262</xdr:colOff>
      <xdr:row>0</xdr:row>
      <xdr:rowOff>0</xdr:rowOff>
    </xdr:from>
    <xdr:to>
      <xdr:col>3</xdr:col>
      <xdr:colOff>360485</xdr:colOff>
      <xdr:row>0</xdr:row>
      <xdr:rowOff>493258</xdr:rowOff>
    </xdr:to>
    <xdr:sp macro="" textlink="Lan!F29">
      <xdr:nvSpPr>
        <xdr:cNvPr id="4" name="TextBox 3">
          <a:hlinkClick xmlns:r="http://schemas.openxmlformats.org/officeDocument/2006/relationships" r:id="rId3"/>
          <a:extLst>
            <a:ext uri="{FF2B5EF4-FFF2-40B4-BE49-F238E27FC236}">
              <a16:creationId xmlns:a16="http://schemas.microsoft.com/office/drawing/2014/main" id="{791D70EF-9558-4C21-B945-31B6E8BE64F3}"/>
            </a:ext>
          </a:extLst>
        </xdr:cNvPr>
        <xdr:cNvSpPr txBox="1"/>
      </xdr:nvSpPr>
      <xdr:spPr>
        <a:xfrm>
          <a:off x="3587262" y="0"/>
          <a:ext cx="2240573"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3</xdr:col>
      <xdr:colOff>406370</xdr:colOff>
      <xdr:row>0</xdr:row>
      <xdr:rowOff>0</xdr:rowOff>
    </xdr:from>
    <xdr:to>
      <xdr:col>5</xdr:col>
      <xdr:colOff>674077</xdr:colOff>
      <xdr:row>0</xdr:row>
      <xdr:rowOff>493258</xdr:rowOff>
    </xdr:to>
    <xdr:sp macro="" textlink="Lan!F83">
      <xdr:nvSpPr>
        <xdr:cNvPr id="5" name="TextBox 3">
          <a:hlinkClick xmlns:r="http://schemas.openxmlformats.org/officeDocument/2006/relationships" r:id="rId4"/>
          <a:extLst>
            <a:ext uri="{FF2B5EF4-FFF2-40B4-BE49-F238E27FC236}">
              <a16:creationId xmlns:a16="http://schemas.microsoft.com/office/drawing/2014/main" id="{17BC0A48-EF4D-4B17-8301-C37787C23579}"/>
            </a:ext>
          </a:extLst>
        </xdr:cNvPr>
        <xdr:cNvSpPr txBox="1"/>
      </xdr:nvSpPr>
      <xdr:spPr>
        <a:xfrm>
          <a:off x="58737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5</xdr:col>
      <xdr:colOff>717486</xdr:colOff>
      <xdr:row>0</xdr:row>
      <xdr:rowOff>0</xdr:rowOff>
    </xdr:from>
    <xdr:to>
      <xdr:col>8</xdr:col>
      <xdr:colOff>423493</xdr:colOff>
      <xdr:row>0</xdr:row>
      <xdr:rowOff>493258</xdr:rowOff>
    </xdr:to>
    <xdr:sp macro="" textlink="Lan!F86">
      <xdr:nvSpPr>
        <xdr:cNvPr id="6" name="TextBox 3">
          <a:hlinkClick xmlns:r="http://schemas.openxmlformats.org/officeDocument/2006/relationships" r:id="rId5"/>
          <a:extLst>
            <a:ext uri="{FF2B5EF4-FFF2-40B4-BE49-F238E27FC236}">
              <a16:creationId xmlns:a16="http://schemas.microsoft.com/office/drawing/2014/main" id="{F57D04EF-66FA-4562-BEF3-9F2D4C75A2B0}"/>
            </a:ext>
          </a:extLst>
        </xdr:cNvPr>
        <xdr:cNvSpPr txBox="1"/>
      </xdr:nvSpPr>
      <xdr:spPr>
        <a:xfrm>
          <a:off x="77088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914400</xdr:colOff>
      <xdr:row>0</xdr:row>
      <xdr:rowOff>0</xdr:rowOff>
    </xdr:from>
    <xdr:to>
      <xdr:col>2</xdr:col>
      <xdr:colOff>1412631</xdr:colOff>
      <xdr:row>0</xdr:row>
      <xdr:rowOff>481496</xdr:rowOff>
    </xdr:to>
    <xdr:pic>
      <xdr:nvPicPr>
        <xdr:cNvPr id="7" name="Imagen 6" descr="Settings Icon of Flat style - Available in SVG, PNG, EPS, AI &amp; Icon fonts">
          <a:hlinkClick xmlns:r="http://schemas.openxmlformats.org/officeDocument/2006/relationships" r:id="rId2"/>
          <a:extLst>
            <a:ext uri="{FF2B5EF4-FFF2-40B4-BE49-F238E27FC236}">
              <a16:creationId xmlns:a16="http://schemas.microsoft.com/office/drawing/2014/main" id="{EB18DC03-4397-49F8-B1AF-63ED76B924FC}"/>
            </a:ext>
          </a:extLst>
        </xdr:cNvPr>
        <xdr:cNvPicPr>
          <a:picLocks noChangeAspect="1" noChangeArrowheads="1"/>
        </xdr:cNvPicPr>
      </xdr:nvPicPr>
      <xdr:blipFill rotWithShape="1">
        <a:blip xmlns:r="http://schemas.openxmlformats.org/officeDocument/2006/relationships" r:embed="rId6" cstate="print">
          <a:duotone>
            <a:schemeClr val="bg2">
              <a:shade val="45000"/>
              <a:satMod val="135000"/>
            </a:schemeClr>
            <a:prstClr val="white"/>
          </a:duotone>
          <a:extLst>
            <a:ext uri="{28A0092B-C50C-407E-A947-70E740481C1C}">
              <a14:useLocalDpi xmlns:a14="http://schemas.microsoft.com/office/drawing/2010/main" val="0"/>
            </a:ext>
          </a:extLst>
        </a:blip>
        <a:srcRect l="8555" r="8739" b="1493"/>
        <a:stretch/>
      </xdr:blipFill>
      <xdr:spPr bwMode="auto">
        <a:xfrm>
          <a:off x="16764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2847243</xdr:colOff>
      <xdr:row>0</xdr:row>
      <xdr:rowOff>14654</xdr:rowOff>
    </xdr:from>
    <xdr:to>
      <xdr:col>2</xdr:col>
      <xdr:colOff>3316164</xdr:colOff>
      <xdr:row>0</xdr:row>
      <xdr:rowOff>485740</xdr:rowOff>
    </xdr:to>
    <xdr:pic>
      <xdr:nvPicPr>
        <xdr:cNvPr id="8" name="Imagen 7" descr="Strategy Clipart Icon Web Icons Png - Strategy Icon Png Transparent Png -  Full Size Clipart (#137502) - PinClipart">
          <a:hlinkClick xmlns:r="http://schemas.openxmlformats.org/officeDocument/2006/relationships" r:id="rId3"/>
          <a:extLst>
            <a:ext uri="{FF2B5EF4-FFF2-40B4-BE49-F238E27FC236}">
              <a16:creationId xmlns:a16="http://schemas.microsoft.com/office/drawing/2014/main" id="{6F96F9B1-747B-4E42-90CC-4386CC7282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6092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426427</xdr:colOff>
      <xdr:row>0</xdr:row>
      <xdr:rowOff>0</xdr:rowOff>
    </xdr:from>
    <xdr:to>
      <xdr:col>4</xdr:col>
      <xdr:colOff>60080</xdr:colOff>
      <xdr:row>0</xdr:row>
      <xdr:rowOff>476812</xdr:rowOff>
    </xdr:to>
    <xdr:pic>
      <xdr:nvPicPr>
        <xdr:cNvPr id="10" name="Imagen 9" descr="report - Image Storage - Reedsburg, Wisconsin">
          <a:hlinkClick xmlns:r="http://schemas.openxmlformats.org/officeDocument/2006/relationships" r:id="rId4"/>
          <a:extLst>
            <a:ext uri="{FF2B5EF4-FFF2-40B4-BE49-F238E27FC236}">
              <a16:creationId xmlns:a16="http://schemas.microsoft.com/office/drawing/2014/main" id="{A0BBA1CC-52D2-45A1-A44D-3098D2CE7FD3}"/>
            </a:ext>
          </a:extLst>
        </xdr:cNvPr>
        <xdr:cNvPicPr>
          <a:picLocks noChangeAspect="1" noChangeArrowheads="1"/>
        </xdr:cNvPicPr>
      </xdr:nvPicPr>
      <xdr:blipFill rotWithShape="1">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8937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732690</xdr:colOff>
      <xdr:row>0</xdr:row>
      <xdr:rowOff>14654</xdr:rowOff>
    </xdr:from>
    <xdr:to>
      <xdr:col>6</xdr:col>
      <xdr:colOff>549517</xdr:colOff>
      <xdr:row>0</xdr:row>
      <xdr:rowOff>492340</xdr:rowOff>
    </xdr:to>
    <xdr:pic>
      <xdr:nvPicPr>
        <xdr:cNvPr id="11" name="Imagen 10" descr="Dashboards Icon #145224 - Free Icons Library">
          <a:hlinkClick xmlns:r="http://schemas.openxmlformats.org/officeDocument/2006/relationships" r:id="rId5"/>
          <a:extLst>
            <a:ext uri="{FF2B5EF4-FFF2-40B4-BE49-F238E27FC236}">
              <a16:creationId xmlns:a16="http://schemas.microsoft.com/office/drawing/2014/main" id="{9ADB1950-7062-4910-BAE1-7A907EFA4306}"/>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8650" b="8922"/>
        <a:stretch/>
      </xdr:blipFill>
      <xdr:spPr bwMode="auto">
        <a:xfrm>
          <a:off x="77240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1924050</xdr:colOff>
      <xdr:row>1</xdr:row>
      <xdr:rowOff>9525</xdr:rowOff>
    </xdr:from>
    <xdr:to>
      <xdr:col>2</xdr:col>
      <xdr:colOff>3302374</xdr:colOff>
      <xdr:row>1</xdr:row>
      <xdr:rowOff>312084</xdr:rowOff>
    </xdr:to>
    <xdr:sp macro="" textlink="Lan!F11">
      <xdr:nvSpPr>
        <xdr:cNvPr id="12" name="Rectángulo 11">
          <a:hlinkClick xmlns:r="http://schemas.openxmlformats.org/officeDocument/2006/relationships" r:id="rId2"/>
          <a:extLst>
            <a:ext uri="{FF2B5EF4-FFF2-40B4-BE49-F238E27FC236}">
              <a16:creationId xmlns:a16="http://schemas.microsoft.com/office/drawing/2014/main" id="{7FE7B6BC-6DD1-4241-B5DD-7A69A21D29CD}"/>
            </a:ext>
          </a:extLst>
        </xdr:cNvPr>
        <xdr:cNvSpPr/>
      </xdr:nvSpPr>
      <xdr:spPr>
        <a:xfrm>
          <a:off x="2686050" y="504825"/>
          <a:ext cx="1378324"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F4A4291-EC07-492D-8416-816EC53E087B}" type="TxLink">
            <a:rPr lang="en-US" sz="1100" b="1" i="0" u="none" strike="noStrike">
              <a:solidFill>
                <a:schemeClr val="bg1"/>
              </a:solidFill>
              <a:latin typeface="CALIBRI"/>
              <a:cs typeface="CALIBRI"/>
            </a:rPr>
            <a:pPr algn="ctr"/>
            <a:t>1. AJUSTES</a:t>
          </a:fld>
          <a:endParaRPr lang="en-US" sz="1400" b="1">
            <a:solidFill>
              <a:schemeClr val="bg1"/>
            </a:solidFill>
          </a:endParaRPr>
        </a:p>
      </xdr:txBody>
    </xdr:sp>
    <xdr:clientData/>
  </xdr:twoCellAnchor>
  <xdr:twoCellAnchor>
    <xdr:from>
      <xdr:col>2</xdr:col>
      <xdr:colOff>3319183</xdr:colOff>
      <xdr:row>1</xdr:row>
      <xdr:rowOff>9526</xdr:rowOff>
    </xdr:from>
    <xdr:to>
      <xdr:col>4</xdr:col>
      <xdr:colOff>535082</xdr:colOff>
      <xdr:row>1</xdr:row>
      <xdr:rowOff>312645</xdr:rowOff>
    </xdr:to>
    <xdr:sp macro="" textlink="Lan!F12">
      <xdr:nvSpPr>
        <xdr:cNvPr id="13" name="Rectángulo 12">
          <a:hlinkClick xmlns:r="http://schemas.openxmlformats.org/officeDocument/2006/relationships" r:id="rId11"/>
          <a:extLst>
            <a:ext uri="{FF2B5EF4-FFF2-40B4-BE49-F238E27FC236}">
              <a16:creationId xmlns:a16="http://schemas.microsoft.com/office/drawing/2014/main" id="{ED2AD75A-8EC9-4FD1-AD5E-73EB57899A3F}"/>
            </a:ext>
          </a:extLst>
        </xdr:cNvPr>
        <xdr:cNvSpPr/>
      </xdr:nvSpPr>
      <xdr:spPr>
        <a:xfrm>
          <a:off x="4081183" y="504826"/>
          <a:ext cx="1492624" cy="30311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5B779C3-D24A-4EDA-992F-42D5E87E954F}" type="TxLink">
            <a:rPr lang="en-US" sz="1100" b="1" i="0" u="none" strike="noStrike">
              <a:solidFill>
                <a:schemeClr val="bg1"/>
              </a:solidFill>
              <a:latin typeface="CALIBRI"/>
              <a:cs typeface="CALIBRI"/>
            </a:rPr>
            <a:pPr algn="ctr"/>
            <a:t>1.1. Áreas estratégicas</a:t>
          </a:fld>
          <a:endParaRPr lang="en-US" sz="1400" b="1">
            <a:solidFill>
              <a:schemeClr val="bg1"/>
            </a:solidFill>
          </a:endParaRPr>
        </a:p>
      </xdr:txBody>
    </xdr:sp>
    <xdr:clientData/>
  </xdr:twoCellAnchor>
  <xdr:twoCellAnchor>
    <xdr:from>
      <xdr:col>4</xdr:col>
      <xdr:colOff>553010</xdr:colOff>
      <xdr:row>1</xdr:row>
      <xdr:rowOff>19051</xdr:rowOff>
    </xdr:from>
    <xdr:to>
      <xdr:col>7</xdr:col>
      <xdr:colOff>333375</xdr:colOff>
      <xdr:row>2</xdr:row>
      <xdr:rowOff>7845</xdr:rowOff>
    </xdr:to>
    <xdr:sp macro="" textlink="Lan!F21">
      <xdr:nvSpPr>
        <xdr:cNvPr id="14" name="Rectángulo 13">
          <a:hlinkClick xmlns:r="http://schemas.openxmlformats.org/officeDocument/2006/relationships" r:id="rId12"/>
          <a:extLst>
            <a:ext uri="{FF2B5EF4-FFF2-40B4-BE49-F238E27FC236}">
              <a16:creationId xmlns:a16="http://schemas.microsoft.com/office/drawing/2014/main" id="{9A80603C-3767-4ECC-ADF3-2935913489F2}"/>
            </a:ext>
          </a:extLst>
        </xdr:cNvPr>
        <xdr:cNvSpPr/>
      </xdr:nvSpPr>
      <xdr:spPr>
        <a:xfrm>
          <a:off x="5591735" y="514351"/>
          <a:ext cx="2066365" cy="3031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3CB125C-7A34-4B6E-8B21-4BAC27A0130F}" type="TxLink">
            <a:rPr lang="en-US" sz="1100" b="1" i="0" u="none" strike="noStrike">
              <a:solidFill>
                <a:schemeClr val="tx1"/>
              </a:solidFill>
              <a:latin typeface="CALIBRI"/>
              <a:cs typeface="CALIBRI"/>
            </a:rPr>
            <a:pPr algn="ctr"/>
            <a:t>1.2. Gerentes | Administradores</a:t>
          </a:fld>
          <a:endParaRPr lang="en-US" sz="1400" b="1">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1619250</xdr:colOff>
      <xdr:row>0</xdr:row>
      <xdr:rowOff>0</xdr:rowOff>
    </xdr:from>
    <xdr:to>
      <xdr:col>2</xdr:col>
      <xdr:colOff>1430949</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EB994E73-754B-4786-BD1E-A7CC9E5D0B81}"/>
            </a:ext>
          </a:extLst>
        </xdr:cNvPr>
        <xdr:cNvSpPr txBox="1"/>
      </xdr:nvSpPr>
      <xdr:spPr>
        <a:xfrm>
          <a:off x="1800225"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2</xdr:col>
      <xdr:colOff>1482237</xdr:colOff>
      <xdr:row>0</xdr:row>
      <xdr:rowOff>0</xdr:rowOff>
    </xdr:from>
    <xdr:to>
      <xdr:col>3</xdr:col>
      <xdr:colOff>1674935</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9DA5E1F3-5D9B-4CFD-A84A-E57C1D2C612B}"/>
            </a:ext>
          </a:extLst>
        </xdr:cNvPr>
        <xdr:cNvSpPr txBox="1"/>
      </xdr:nvSpPr>
      <xdr:spPr>
        <a:xfrm>
          <a:off x="3711087"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3</xdr:col>
      <xdr:colOff>1720820</xdr:colOff>
      <xdr:row>0</xdr:row>
      <xdr:rowOff>0</xdr:rowOff>
    </xdr:from>
    <xdr:to>
      <xdr:col>4</xdr:col>
      <xdr:colOff>1464652</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399B01D6-A891-443A-8246-48DFF813A087}"/>
            </a:ext>
          </a:extLst>
        </xdr:cNvPr>
        <xdr:cNvSpPr txBox="1"/>
      </xdr:nvSpPr>
      <xdr:spPr>
        <a:xfrm>
          <a:off x="5997545"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4</xdr:col>
      <xdr:colOff>1508061</xdr:colOff>
      <xdr:row>0</xdr:row>
      <xdr:rowOff>0</xdr:rowOff>
    </xdr:from>
    <xdr:to>
      <xdr:col>5</xdr:col>
      <xdr:colOff>1452193</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1D78B2C3-3E28-40E7-AD8B-7585A9302168}"/>
            </a:ext>
          </a:extLst>
        </xdr:cNvPr>
        <xdr:cNvSpPr txBox="1"/>
      </xdr:nvSpPr>
      <xdr:spPr>
        <a:xfrm>
          <a:off x="7832661"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1619250</xdr:colOff>
      <xdr:row>0</xdr:row>
      <xdr:rowOff>0</xdr:rowOff>
    </xdr:from>
    <xdr:to>
      <xdr:col>2</xdr:col>
      <xdr:colOff>69606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FD4F9CFA-7D4B-45F8-9EED-0A9B0A7B001C}"/>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800225"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1504218</xdr:colOff>
      <xdr:row>0</xdr:row>
      <xdr:rowOff>14654</xdr:rowOff>
    </xdr:from>
    <xdr:to>
      <xdr:col>2</xdr:col>
      <xdr:colOff>1973139</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C0FE4B08-47C9-46BE-A6E5-6832B893CD74}"/>
            </a:ext>
          </a:extLst>
        </xdr:cNvPr>
        <xdr:cNvPicPr>
          <a:picLocks noChangeAspect="1" noChangeArrowheads="1"/>
        </xdr:cNvPicPr>
      </xdr:nvPicPr>
      <xdr:blipFill>
        <a:blip xmlns:r="http://schemas.openxmlformats.org/officeDocument/2006/relationships" r:embed="rId6" cstate="print">
          <a:duotone>
            <a:schemeClr val="accent1">
              <a:shade val="45000"/>
              <a:satMod val="135000"/>
            </a:schemeClr>
            <a:prstClr val="white"/>
          </a:duotone>
          <a:extLst>
            <a:ext uri="{BEBA8EAE-BF5A-486C-A8C5-ECC9F3942E4B}">
              <a14:imgProps xmlns:a14="http://schemas.microsoft.com/office/drawing/2010/main">
                <a14:imgLayer r:embed="rId7">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3733068"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1740877</xdr:colOff>
      <xdr:row>0</xdr:row>
      <xdr:rowOff>0</xdr:rowOff>
    </xdr:from>
    <xdr:to>
      <xdr:col>4</xdr:col>
      <xdr:colOff>88655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D4ECAC39-D3C2-4298-AD10-D9B1DF88DD29}"/>
            </a:ext>
          </a:extLst>
        </xdr:cNvPr>
        <xdr:cNvPicPr>
          <a:picLocks noChangeAspect="1" noChangeArrowheads="1"/>
        </xdr:cNvPicPr>
      </xdr:nvPicPr>
      <xdr:blipFill rotWithShape="1">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6017602"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1523265</xdr:colOff>
      <xdr:row>0</xdr:row>
      <xdr:rowOff>14654</xdr:rowOff>
    </xdr:from>
    <xdr:to>
      <xdr:col>5</xdr:col>
      <xdr:colOff>54217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5348AF73-A409-4CAD-AC70-9963DACA8053}"/>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8650" b="8922"/>
        <a:stretch/>
      </xdr:blipFill>
      <xdr:spPr bwMode="auto">
        <a:xfrm>
          <a:off x="7847865"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1978958</xdr:colOff>
      <xdr:row>1</xdr:row>
      <xdr:rowOff>9525</xdr:rowOff>
    </xdr:from>
    <xdr:to>
      <xdr:col>2</xdr:col>
      <xdr:colOff>1981200</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4E0DF0B6-1007-4647-983D-91E4282778D9}"/>
            </a:ext>
          </a:extLst>
        </xdr:cNvPr>
        <xdr:cNvSpPr/>
      </xdr:nvSpPr>
      <xdr:spPr>
        <a:xfrm>
          <a:off x="2159933" y="504825"/>
          <a:ext cx="2050117"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tx1"/>
              </a:solidFill>
              <a:latin typeface="CALIBRI"/>
              <a:cs typeface="CALIBRI"/>
            </a:rPr>
            <a:pPr algn="ctr"/>
            <a:t>2.1. Declaraciones de estrategia</a:t>
          </a:fld>
          <a:endParaRPr lang="en-US" sz="1800" b="1">
            <a:solidFill>
              <a:schemeClr val="tx1"/>
            </a:solidFill>
          </a:endParaRPr>
        </a:p>
      </xdr:txBody>
    </xdr:sp>
    <xdr:clientData/>
  </xdr:twoCellAnchor>
  <xdr:twoCellAnchor>
    <xdr:from>
      <xdr:col>2</xdr:col>
      <xdr:colOff>1990291</xdr:colOff>
      <xdr:row>1</xdr:row>
      <xdr:rowOff>9525</xdr:rowOff>
    </xdr:from>
    <xdr:to>
      <xdr:col>3</xdr:col>
      <xdr:colOff>1267257</xdr:colOff>
      <xdr:row>1</xdr:row>
      <xdr:rowOff>312084</xdr:rowOff>
    </xdr:to>
    <xdr:sp macro="" textlink="Lan!F37">
      <xdr:nvSpPr>
        <xdr:cNvPr id="11" name="Rectángulo 10">
          <a:hlinkClick xmlns:r="http://schemas.openxmlformats.org/officeDocument/2006/relationships" r:id="rId11"/>
          <a:extLst>
            <a:ext uri="{FF2B5EF4-FFF2-40B4-BE49-F238E27FC236}">
              <a16:creationId xmlns:a16="http://schemas.microsoft.com/office/drawing/2014/main" id="{5DC13462-E6EA-449D-B19C-011F73BAFEA5}"/>
            </a:ext>
          </a:extLst>
        </xdr:cNvPr>
        <xdr:cNvSpPr/>
      </xdr:nvSpPr>
      <xdr:spPr>
        <a:xfrm>
          <a:off x="4219141"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3</xdr:col>
      <xdr:colOff>1276783</xdr:colOff>
      <xdr:row>1</xdr:row>
      <xdr:rowOff>9525</xdr:rowOff>
    </xdr:from>
    <xdr:to>
      <xdr:col>4</xdr:col>
      <xdr:colOff>380567</xdr:colOff>
      <xdr:row>1</xdr:row>
      <xdr:rowOff>312084</xdr:rowOff>
    </xdr:to>
    <xdr:sp macro="" textlink="Lan!F43">
      <xdr:nvSpPr>
        <xdr:cNvPr id="12" name="Rectángulo 11">
          <a:hlinkClick xmlns:r="http://schemas.openxmlformats.org/officeDocument/2006/relationships" r:id="rId12"/>
          <a:extLst>
            <a:ext uri="{FF2B5EF4-FFF2-40B4-BE49-F238E27FC236}">
              <a16:creationId xmlns:a16="http://schemas.microsoft.com/office/drawing/2014/main" id="{3F1BD1F8-8AFA-4ACE-8021-2435C76839D1}"/>
            </a:ext>
          </a:extLst>
        </xdr:cNvPr>
        <xdr:cNvSpPr/>
      </xdr:nvSpPr>
      <xdr:spPr>
        <a:xfrm>
          <a:off x="5553508"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4</xdr:col>
      <xdr:colOff>400050</xdr:colOff>
      <xdr:row>1</xdr:row>
      <xdr:rowOff>9525</xdr:rowOff>
    </xdr:from>
    <xdr:to>
      <xdr:col>5</xdr:col>
      <xdr:colOff>114300</xdr:colOff>
      <xdr:row>1</xdr:row>
      <xdr:rowOff>312084</xdr:rowOff>
    </xdr:to>
    <xdr:sp macro="" textlink="Lan!F54">
      <xdr:nvSpPr>
        <xdr:cNvPr id="13" name="Rectángulo 12">
          <a:hlinkClick xmlns:r="http://schemas.openxmlformats.org/officeDocument/2006/relationships" r:id="rId13"/>
          <a:extLst>
            <a:ext uri="{FF2B5EF4-FFF2-40B4-BE49-F238E27FC236}">
              <a16:creationId xmlns:a16="http://schemas.microsoft.com/office/drawing/2014/main" id="{AC7AC155-56E8-4AC8-AA8F-BE924972A7C6}"/>
            </a:ext>
          </a:extLst>
        </xdr:cNvPr>
        <xdr:cNvSpPr/>
      </xdr:nvSpPr>
      <xdr:spPr>
        <a:xfrm>
          <a:off x="6724650"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5</xdr:col>
      <xdr:colOff>133350</xdr:colOff>
      <xdr:row>1</xdr:row>
      <xdr:rowOff>9525</xdr:rowOff>
    </xdr:from>
    <xdr:to>
      <xdr:col>5</xdr:col>
      <xdr:colOff>1590675</xdr:colOff>
      <xdr:row>1</xdr:row>
      <xdr:rowOff>312084</xdr:rowOff>
    </xdr:to>
    <xdr:sp macro="" textlink="Lan!F62">
      <xdr:nvSpPr>
        <xdr:cNvPr id="14" name="Rectángulo 13">
          <a:hlinkClick xmlns:r="http://schemas.openxmlformats.org/officeDocument/2006/relationships" r:id="rId14"/>
          <a:extLst>
            <a:ext uri="{FF2B5EF4-FFF2-40B4-BE49-F238E27FC236}">
              <a16:creationId xmlns:a16="http://schemas.microsoft.com/office/drawing/2014/main" id="{BB30EC52-B079-4B01-BD97-06FFA892BCF6}"/>
            </a:ext>
          </a:extLst>
        </xdr:cNvPr>
        <xdr:cNvSpPr/>
      </xdr:nvSpPr>
      <xdr:spPr>
        <a:xfrm>
          <a:off x="8505825"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685800</xdr:colOff>
      <xdr:row>0</xdr:row>
      <xdr:rowOff>0</xdr:rowOff>
    </xdr:from>
    <xdr:to>
      <xdr:col>3</xdr:col>
      <xdr:colOff>497499</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695F2AF4-7372-4A61-9F3A-1FA5B70DB6D9}"/>
            </a:ext>
          </a:extLst>
        </xdr:cNvPr>
        <xdr:cNvSpPr txBox="1"/>
      </xdr:nvSpPr>
      <xdr:spPr>
        <a:xfrm>
          <a:off x="1743075"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3</xdr:col>
      <xdr:colOff>548787</xdr:colOff>
      <xdr:row>0</xdr:row>
      <xdr:rowOff>0</xdr:rowOff>
    </xdr:from>
    <xdr:to>
      <xdr:col>4</xdr:col>
      <xdr:colOff>741485</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DB572D37-051C-44B8-8F84-943CEDD169BF}"/>
            </a:ext>
          </a:extLst>
        </xdr:cNvPr>
        <xdr:cNvSpPr txBox="1"/>
      </xdr:nvSpPr>
      <xdr:spPr>
        <a:xfrm>
          <a:off x="3653937"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4</xdr:col>
      <xdr:colOff>787370</xdr:colOff>
      <xdr:row>0</xdr:row>
      <xdr:rowOff>0</xdr:rowOff>
    </xdr:from>
    <xdr:to>
      <xdr:col>5</xdr:col>
      <xdr:colOff>531202</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26C6FA1D-6EEC-4664-A62D-0D9D31DF7F69}"/>
            </a:ext>
          </a:extLst>
        </xdr:cNvPr>
        <xdr:cNvSpPr txBox="1"/>
      </xdr:nvSpPr>
      <xdr:spPr>
        <a:xfrm>
          <a:off x="5940395"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5</xdr:col>
      <xdr:colOff>574611</xdr:colOff>
      <xdr:row>0</xdr:row>
      <xdr:rowOff>0</xdr:rowOff>
    </xdr:from>
    <xdr:to>
      <xdr:col>6</xdr:col>
      <xdr:colOff>118693</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C56DDA4C-3AA7-4C44-BBF7-A7ABEA8DF074}"/>
            </a:ext>
          </a:extLst>
        </xdr:cNvPr>
        <xdr:cNvSpPr txBox="1"/>
      </xdr:nvSpPr>
      <xdr:spPr>
        <a:xfrm>
          <a:off x="7775511"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2</xdr:col>
      <xdr:colOff>685800</xdr:colOff>
      <xdr:row>0</xdr:row>
      <xdr:rowOff>0</xdr:rowOff>
    </xdr:from>
    <xdr:to>
      <xdr:col>2</xdr:col>
      <xdr:colOff>1184031</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692050BC-E9FD-4B94-981C-8040A02EE78A}"/>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743075"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570768</xdr:colOff>
      <xdr:row>0</xdr:row>
      <xdr:rowOff>14654</xdr:rowOff>
    </xdr:from>
    <xdr:to>
      <xdr:col>3</xdr:col>
      <xdr:colOff>1039689</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5D036A8F-4F7C-4D20-963B-93D22225693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75918"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807427</xdr:colOff>
      <xdr:row>0</xdr:row>
      <xdr:rowOff>0</xdr:rowOff>
    </xdr:from>
    <xdr:to>
      <xdr:col>4</xdr:col>
      <xdr:colOff>1203080</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1F949F06-2E0A-4D6D-B4C7-2695C4B9727F}"/>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960452"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589815</xdr:colOff>
      <xdr:row>0</xdr:row>
      <xdr:rowOff>14654</xdr:rowOff>
    </xdr:from>
    <xdr:to>
      <xdr:col>5</xdr:col>
      <xdr:colOff>1168642</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C54D0EAE-3FF8-4340-93A9-10555B6410C5}"/>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790715"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1581150</xdr:colOff>
      <xdr:row>1</xdr:row>
      <xdr:rowOff>9525</xdr:rowOff>
    </xdr:from>
    <xdr:to>
      <xdr:col>3</xdr:col>
      <xdr:colOff>1583392</xdr:colOff>
      <xdr:row>1</xdr:row>
      <xdr:rowOff>312084</xdr:rowOff>
    </xdr:to>
    <xdr:sp macro="" textlink="Lan!F30">
      <xdr:nvSpPr>
        <xdr:cNvPr id="13" name="Rectángulo 12">
          <a:hlinkClick xmlns:r="http://schemas.openxmlformats.org/officeDocument/2006/relationships" r:id="rId2"/>
          <a:extLst>
            <a:ext uri="{FF2B5EF4-FFF2-40B4-BE49-F238E27FC236}">
              <a16:creationId xmlns:a16="http://schemas.microsoft.com/office/drawing/2014/main" id="{CA4216BC-BC1D-4351-9D50-05A5020CF55C}"/>
            </a:ext>
          </a:extLst>
        </xdr:cNvPr>
        <xdr:cNvSpPr/>
      </xdr:nvSpPr>
      <xdr:spPr>
        <a:xfrm>
          <a:off x="263842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3</xdr:col>
      <xdr:colOff>1592483</xdr:colOff>
      <xdr:row>1</xdr:row>
      <xdr:rowOff>9525</xdr:rowOff>
    </xdr:from>
    <xdr:to>
      <xdr:col>4</xdr:col>
      <xdr:colOff>869449</xdr:colOff>
      <xdr:row>1</xdr:row>
      <xdr:rowOff>312084</xdr:rowOff>
    </xdr:to>
    <xdr:sp macro="" textlink="Lan!F37">
      <xdr:nvSpPr>
        <xdr:cNvPr id="14" name="Rectángulo 13">
          <a:hlinkClick xmlns:r="http://schemas.openxmlformats.org/officeDocument/2006/relationships" r:id="rId10"/>
          <a:extLst>
            <a:ext uri="{FF2B5EF4-FFF2-40B4-BE49-F238E27FC236}">
              <a16:creationId xmlns:a16="http://schemas.microsoft.com/office/drawing/2014/main" id="{E8831415-545A-4A77-90E1-58E2FDBC6DB9}"/>
            </a:ext>
          </a:extLst>
        </xdr:cNvPr>
        <xdr:cNvSpPr/>
      </xdr:nvSpPr>
      <xdr:spPr>
        <a:xfrm>
          <a:off x="4697633" y="504825"/>
          <a:ext cx="1324841"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tx1"/>
              </a:solidFill>
              <a:latin typeface="CALIBRI"/>
              <a:cs typeface="CALIBRI"/>
            </a:rPr>
            <a:pPr algn="ctr"/>
            <a:t>2.2. Metas estratégicas</a:t>
          </a:fld>
          <a:endParaRPr lang="en-US" sz="1800" b="1">
            <a:solidFill>
              <a:schemeClr val="tx1"/>
            </a:solidFill>
          </a:endParaRPr>
        </a:p>
      </xdr:txBody>
    </xdr:sp>
    <xdr:clientData/>
  </xdr:twoCellAnchor>
  <xdr:twoCellAnchor>
    <xdr:from>
      <xdr:col>4</xdr:col>
      <xdr:colOff>878975</xdr:colOff>
      <xdr:row>1</xdr:row>
      <xdr:rowOff>9525</xdr:rowOff>
    </xdr:from>
    <xdr:to>
      <xdr:col>4</xdr:col>
      <xdr:colOff>2030634</xdr:colOff>
      <xdr:row>1</xdr:row>
      <xdr:rowOff>312084</xdr:rowOff>
    </xdr:to>
    <xdr:sp macro="" textlink="Lan!F43">
      <xdr:nvSpPr>
        <xdr:cNvPr id="15" name="Rectángulo 14">
          <a:hlinkClick xmlns:r="http://schemas.openxmlformats.org/officeDocument/2006/relationships" r:id="rId11"/>
          <a:extLst>
            <a:ext uri="{FF2B5EF4-FFF2-40B4-BE49-F238E27FC236}">
              <a16:creationId xmlns:a16="http://schemas.microsoft.com/office/drawing/2014/main" id="{251370BB-255C-44D4-93C6-1F1C8A23D5FD}"/>
            </a:ext>
          </a:extLst>
        </xdr:cNvPr>
        <xdr:cNvSpPr/>
      </xdr:nvSpPr>
      <xdr:spPr>
        <a:xfrm>
          <a:off x="6032000" y="504825"/>
          <a:ext cx="1151659"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bg1"/>
              </a:solidFill>
              <a:latin typeface="CALIBRI"/>
              <a:cs typeface="CALIBRI"/>
            </a:rPr>
            <a:pPr algn="ctr"/>
            <a:t>2.3. Objetivos</a:t>
          </a:fld>
          <a:endParaRPr lang="en-US" sz="1800" b="1">
            <a:solidFill>
              <a:schemeClr val="bg1"/>
            </a:solidFill>
          </a:endParaRPr>
        </a:p>
      </xdr:txBody>
    </xdr:sp>
    <xdr:clientData/>
  </xdr:twoCellAnchor>
  <xdr:twoCellAnchor>
    <xdr:from>
      <xdr:col>5</xdr:col>
      <xdr:colOff>2242</xdr:colOff>
      <xdr:row>1</xdr:row>
      <xdr:rowOff>9525</xdr:rowOff>
    </xdr:from>
    <xdr:to>
      <xdr:col>5</xdr:col>
      <xdr:colOff>1764367</xdr:colOff>
      <xdr:row>1</xdr:row>
      <xdr:rowOff>312084</xdr:rowOff>
    </xdr:to>
    <xdr:sp macro="" textlink="Lan!F54">
      <xdr:nvSpPr>
        <xdr:cNvPr id="16" name="Rectángulo 15">
          <a:hlinkClick xmlns:r="http://schemas.openxmlformats.org/officeDocument/2006/relationships" r:id="rId12"/>
          <a:extLst>
            <a:ext uri="{FF2B5EF4-FFF2-40B4-BE49-F238E27FC236}">
              <a16:creationId xmlns:a16="http://schemas.microsoft.com/office/drawing/2014/main" id="{0EE520E5-112C-429A-AA77-8E5D25938276}"/>
            </a:ext>
          </a:extLst>
        </xdr:cNvPr>
        <xdr:cNvSpPr/>
      </xdr:nvSpPr>
      <xdr:spPr>
        <a:xfrm>
          <a:off x="7203142"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5</xdr:col>
      <xdr:colOff>1783417</xdr:colOff>
      <xdr:row>1</xdr:row>
      <xdr:rowOff>9525</xdr:rowOff>
    </xdr:from>
    <xdr:to>
      <xdr:col>6</xdr:col>
      <xdr:colOff>792817</xdr:colOff>
      <xdr:row>1</xdr:row>
      <xdr:rowOff>312084</xdr:rowOff>
    </xdr:to>
    <xdr:sp macro="" textlink="Lan!F62">
      <xdr:nvSpPr>
        <xdr:cNvPr id="17" name="Rectángulo 16">
          <a:hlinkClick xmlns:r="http://schemas.openxmlformats.org/officeDocument/2006/relationships" r:id="rId13"/>
          <a:extLst>
            <a:ext uri="{FF2B5EF4-FFF2-40B4-BE49-F238E27FC236}">
              <a16:creationId xmlns:a16="http://schemas.microsoft.com/office/drawing/2014/main" id="{809DD748-9F83-4A72-B533-237A34A3E25C}"/>
            </a:ext>
          </a:extLst>
        </xdr:cNvPr>
        <xdr:cNvSpPr/>
      </xdr:nvSpPr>
      <xdr:spPr>
        <a:xfrm>
          <a:off x="8984317"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1381125</xdr:colOff>
      <xdr:row>0</xdr:row>
      <xdr:rowOff>0</xdr:rowOff>
    </xdr:from>
    <xdr:to>
      <xdr:col>2</xdr:col>
      <xdr:colOff>1059474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1A6F1BD0-F327-4791-87B7-526A031565B8}"/>
            </a:ext>
          </a:extLst>
        </xdr:cNvPr>
        <xdr:cNvSpPr txBox="1"/>
      </xdr:nvSpPr>
      <xdr:spPr>
        <a:xfrm>
          <a:off x="15621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2</xdr:col>
      <xdr:colOff>1110762</xdr:colOff>
      <xdr:row>0</xdr:row>
      <xdr:rowOff>0</xdr:rowOff>
    </xdr:from>
    <xdr:to>
      <xdr:col>3</xdr:col>
      <xdr:colOff>1170110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613BFC6A-39BA-4AFF-AD6F-0D2A4CDB91E9}"/>
            </a:ext>
          </a:extLst>
        </xdr:cNvPr>
        <xdr:cNvSpPr txBox="1"/>
      </xdr:nvSpPr>
      <xdr:spPr>
        <a:xfrm>
          <a:off x="347296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3</xdr:col>
      <xdr:colOff>1215995</xdr:colOff>
      <xdr:row>0</xdr:row>
      <xdr:rowOff>0</xdr:rowOff>
    </xdr:from>
    <xdr:to>
      <xdr:col>4</xdr:col>
      <xdr:colOff>826477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EBDB6143-B633-469E-9C84-7E25754FCCC9}"/>
            </a:ext>
          </a:extLst>
        </xdr:cNvPr>
        <xdr:cNvSpPr txBox="1"/>
      </xdr:nvSpPr>
      <xdr:spPr>
        <a:xfrm>
          <a:off x="57594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4</xdr:col>
      <xdr:colOff>869886</xdr:colOff>
      <xdr:row>0</xdr:row>
      <xdr:rowOff>0</xdr:rowOff>
    </xdr:from>
    <xdr:to>
      <xdr:col>5</xdr:col>
      <xdr:colOff>680668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8246F910-27CE-40E8-BB67-77F78561096C}"/>
            </a:ext>
          </a:extLst>
        </xdr:cNvPr>
        <xdr:cNvSpPr txBox="1"/>
      </xdr:nvSpPr>
      <xdr:spPr>
        <a:xfrm>
          <a:off x="75945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1381125</xdr:colOff>
      <xdr:row>0</xdr:row>
      <xdr:rowOff>0</xdr:rowOff>
    </xdr:from>
    <xdr:to>
      <xdr:col>1</xdr:col>
      <xdr:colOff>1879356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C1297CFB-2642-439A-94DD-FE044837F97D}"/>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5621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1132743</xdr:colOff>
      <xdr:row>0</xdr:row>
      <xdr:rowOff>14654</xdr:rowOff>
    </xdr:from>
    <xdr:to>
      <xdr:col>2</xdr:col>
      <xdr:colOff>1601664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2CBE3C97-D188-48E8-80E7-90F57ED8EB8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49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1236052</xdr:colOff>
      <xdr:row>0</xdr:row>
      <xdr:rowOff>0</xdr:rowOff>
    </xdr:from>
    <xdr:to>
      <xdr:col>3</xdr:col>
      <xdr:colOff>1631705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B369F7ED-F4C9-4C05-858C-F893FED1A4CB}"/>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7794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885090</xdr:colOff>
      <xdr:row>0</xdr:row>
      <xdr:rowOff>14654</xdr:rowOff>
    </xdr:from>
    <xdr:to>
      <xdr:col>4</xdr:col>
      <xdr:colOff>1463917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222DBF7B-7BC2-4880-8E40-577AEF75B4EF}"/>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6097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xdr:row>
      <xdr:rowOff>9525</xdr:rowOff>
    </xdr:from>
    <xdr:to>
      <xdr:col>2</xdr:col>
      <xdr:colOff>2116792</xdr:colOff>
      <xdr:row>1</xdr:row>
      <xdr:rowOff>312084</xdr:rowOff>
    </xdr:to>
    <xdr:sp macro="" textlink="Lan!F30">
      <xdr:nvSpPr>
        <xdr:cNvPr id="13" name="Rectángulo 12">
          <a:hlinkClick xmlns:r="http://schemas.openxmlformats.org/officeDocument/2006/relationships" r:id="rId2"/>
          <a:extLst>
            <a:ext uri="{FF2B5EF4-FFF2-40B4-BE49-F238E27FC236}">
              <a16:creationId xmlns:a16="http://schemas.microsoft.com/office/drawing/2014/main" id="{9863443E-72C2-4F9B-99DE-6C5F713254F1}"/>
            </a:ext>
          </a:extLst>
        </xdr:cNvPr>
        <xdr:cNvSpPr/>
      </xdr:nvSpPr>
      <xdr:spPr>
        <a:xfrm>
          <a:off x="242887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2</xdr:col>
      <xdr:colOff>2125883</xdr:colOff>
      <xdr:row>1</xdr:row>
      <xdr:rowOff>9525</xdr:rowOff>
    </xdr:from>
    <xdr:to>
      <xdr:col>3</xdr:col>
      <xdr:colOff>1269499</xdr:colOff>
      <xdr:row>1</xdr:row>
      <xdr:rowOff>312084</xdr:rowOff>
    </xdr:to>
    <xdr:sp macro="" textlink="Lan!F37">
      <xdr:nvSpPr>
        <xdr:cNvPr id="14" name="Rectángulo 13">
          <a:hlinkClick xmlns:r="http://schemas.openxmlformats.org/officeDocument/2006/relationships" r:id="rId10"/>
          <a:extLst>
            <a:ext uri="{FF2B5EF4-FFF2-40B4-BE49-F238E27FC236}">
              <a16:creationId xmlns:a16="http://schemas.microsoft.com/office/drawing/2014/main" id="{0CA896D4-98E8-4133-A1E2-23CC3F8682BD}"/>
            </a:ext>
          </a:extLst>
        </xdr:cNvPr>
        <xdr:cNvSpPr/>
      </xdr:nvSpPr>
      <xdr:spPr>
        <a:xfrm>
          <a:off x="4488083"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3</xdr:col>
      <xdr:colOff>1279025</xdr:colOff>
      <xdr:row>1</xdr:row>
      <xdr:rowOff>9525</xdr:rowOff>
    </xdr:from>
    <xdr:to>
      <xdr:col>4</xdr:col>
      <xdr:colOff>249459</xdr:colOff>
      <xdr:row>1</xdr:row>
      <xdr:rowOff>312084</xdr:rowOff>
    </xdr:to>
    <xdr:sp macro="" textlink="Lan!F43">
      <xdr:nvSpPr>
        <xdr:cNvPr id="15" name="Rectángulo 14">
          <a:hlinkClick xmlns:r="http://schemas.openxmlformats.org/officeDocument/2006/relationships" r:id="rId11"/>
          <a:extLst>
            <a:ext uri="{FF2B5EF4-FFF2-40B4-BE49-F238E27FC236}">
              <a16:creationId xmlns:a16="http://schemas.microsoft.com/office/drawing/2014/main" id="{A21D7E32-037A-41B7-A0EE-2017EE06E871}"/>
            </a:ext>
          </a:extLst>
        </xdr:cNvPr>
        <xdr:cNvSpPr/>
      </xdr:nvSpPr>
      <xdr:spPr>
        <a:xfrm>
          <a:off x="5822450" y="504825"/>
          <a:ext cx="1151659"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tx1"/>
              </a:solidFill>
              <a:latin typeface="CALIBRI"/>
              <a:cs typeface="CALIBRI"/>
            </a:rPr>
            <a:pPr algn="ctr"/>
            <a:t>2.3. Objetivos</a:t>
          </a:fld>
          <a:endParaRPr lang="en-US" sz="1800" b="1">
            <a:solidFill>
              <a:schemeClr val="tx1"/>
            </a:solidFill>
          </a:endParaRPr>
        </a:p>
      </xdr:txBody>
    </xdr:sp>
    <xdr:clientData/>
  </xdr:twoCellAnchor>
  <xdr:twoCellAnchor>
    <xdr:from>
      <xdr:col>4</xdr:col>
      <xdr:colOff>268942</xdr:colOff>
      <xdr:row>1</xdr:row>
      <xdr:rowOff>9525</xdr:rowOff>
    </xdr:from>
    <xdr:to>
      <xdr:col>4</xdr:col>
      <xdr:colOff>2031067</xdr:colOff>
      <xdr:row>1</xdr:row>
      <xdr:rowOff>312084</xdr:rowOff>
    </xdr:to>
    <xdr:sp macro="" textlink="Lan!F54">
      <xdr:nvSpPr>
        <xdr:cNvPr id="16" name="Rectángulo 15">
          <a:hlinkClick xmlns:r="http://schemas.openxmlformats.org/officeDocument/2006/relationships" r:id="rId12"/>
          <a:extLst>
            <a:ext uri="{FF2B5EF4-FFF2-40B4-BE49-F238E27FC236}">
              <a16:creationId xmlns:a16="http://schemas.microsoft.com/office/drawing/2014/main" id="{42D610D4-3D78-44C6-8563-1BA6E47E1104}"/>
            </a:ext>
          </a:extLst>
        </xdr:cNvPr>
        <xdr:cNvSpPr/>
      </xdr:nvSpPr>
      <xdr:spPr>
        <a:xfrm>
          <a:off x="6993592"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4</xdr:col>
      <xdr:colOff>2050117</xdr:colOff>
      <xdr:row>1</xdr:row>
      <xdr:rowOff>9525</xdr:rowOff>
    </xdr:from>
    <xdr:to>
      <xdr:col>5</xdr:col>
      <xdr:colOff>1326217</xdr:colOff>
      <xdr:row>1</xdr:row>
      <xdr:rowOff>312084</xdr:rowOff>
    </xdr:to>
    <xdr:sp macro="" textlink="Lan!F62">
      <xdr:nvSpPr>
        <xdr:cNvPr id="17" name="Rectángulo 16">
          <a:hlinkClick xmlns:r="http://schemas.openxmlformats.org/officeDocument/2006/relationships" r:id="rId13"/>
          <a:extLst>
            <a:ext uri="{FF2B5EF4-FFF2-40B4-BE49-F238E27FC236}">
              <a16:creationId xmlns:a16="http://schemas.microsoft.com/office/drawing/2014/main" id="{626AF854-555A-42B0-B66E-3E1AD5A29C6D}"/>
            </a:ext>
          </a:extLst>
        </xdr:cNvPr>
        <xdr:cNvSpPr/>
      </xdr:nvSpPr>
      <xdr:spPr>
        <a:xfrm>
          <a:off x="8774767"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3</xdr:col>
      <xdr:colOff>1266825</xdr:colOff>
      <xdr:row>2</xdr:row>
      <xdr:rowOff>85042</xdr:rowOff>
    </xdr:from>
    <xdr:to>
      <xdr:col>4</xdr:col>
      <xdr:colOff>542925</xdr:colOff>
      <xdr:row>3</xdr:row>
      <xdr:rowOff>76883</xdr:rowOff>
    </xdr:to>
    <xdr:sp macro="" textlink="'O1'!B10">
      <xdr:nvSpPr>
        <xdr:cNvPr id="10" name="Rectángulo 9">
          <a:hlinkClick xmlns:r="http://schemas.openxmlformats.org/officeDocument/2006/relationships" r:id="rId11"/>
          <a:extLst>
            <a:ext uri="{FF2B5EF4-FFF2-40B4-BE49-F238E27FC236}">
              <a16:creationId xmlns:a16="http://schemas.microsoft.com/office/drawing/2014/main" id="{40380EBF-3E1D-4FE8-9071-9DAC54836D0C}"/>
            </a:ext>
          </a:extLst>
        </xdr:cNvPr>
        <xdr:cNvSpPr/>
      </xdr:nvSpPr>
      <xdr:spPr>
        <a:xfrm>
          <a:off x="5810250" y="894667"/>
          <a:ext cx="1457325"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444BDD43-66CA-4FDD-B623-F44F35B48112}" type="TxLink">
            <a:rPr lang="en-US" sz="1200" b="1" i="0" u="none" strike="noStrike">
              <a:solidFill>
                <a:schemeClr val="tx1"/>
              </a:solidFill>
              <a:latin typeface="Calibri"/>
              <a:cs typeface="Calibri"/>
            </a:rPr>
            <a:pPr algn="ctr"/>
            <a:t>Meta 1</a:t>
          </a:fld>
          <a:endParaRPr lang="en-US">
            <a:solidFill>
              <a:schemeClr val="tx1"/>
            </a:solidFill>
          </a:endParaRPr>
        </a:p>
      </xdr:txBody>
    </xdr:sp>
    <xdr:clientData/>
  </xdr:twoCellAnchor>
  <xdr:twoCellAnchor>
    <xdr:from>
      <xdr:col>4</xdr:col>
      <xdr:colOff>590550</xdr:colOff>
      <xdr:row>2</xdr:row>
      <xdr:rowOff>85042</xdr:rowOff>
    </xdr:from>
    <xdr:to>
      <xdr:col>4</xdr:col>
      <xdr:colOff>2047875</xdr:colOff>
      <xdr:row>3</xdr:row>
      <xdr:rowOff>76883</xdr:rowOff>
    </xdr:to>
    <xdr:sp macro="" textlink="'O1'!C10">
      <xdr:nvSpPr>
        <xdr:cNvPr id="18" name="Rectángulo 17">
          <a:hlinkClick xmlns:r="http://schemas.openxmlformats.org/officeDocument/2006/relationships" r:id="rId14"/>
          <a:extLst>
            <a:ext uri="{FF2B5EF4-FFF2-40B4-BE49-F238E27FC236}">
              <a16:creationId xmlns:a16="http://schemas.microsoft.com/office/drawing/2014/main" id="{8307D319-D082-4030-89C1-9B0610CF0C06}"/>
            </a:ext>
          </a:extLst>
        </xdr:cNvPr>
        <xdr:cNvSpPr/>
      </xdr:nvSpPr>
      <xdr:spPr>
        <a:xfrm>
          <a:off x="7315200" y="894667"/>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3CA94B9-5EDC-464C-A2C5-0F7274AD8131}" type="TxLink">
            <a:rPr lang="en-US" sz="1200" b="1" i="0" u="none" strike="noStrike">
              <a:solidFill>
                <a:schemeClr val="bg1"/>
              </a:solidFill>
              <a:latin typeface="Calibri"/>
              <a:cs typeface="Calibri"/>
            </a:rPr>
            <a:pPr algn="ctr"/>
            <a:t>Meta 2</a:t>
          </a:fld>
          <a:endParaRPr lang="en-US">
            <a:solidFill>
              <a:schemeClr val="bg1"/>
            </a:solidFill>
          </a:endParaRPr>
        </a:p>
      </xdr:txBody>
    </xdr:sp>
    <xdr:clientData/>
  </xdr:twoCellAnchor>
  <xdr:twoCellAnchor>
    <xdr:from>
      <xdr:col>4</xdr:col>
      <xdr:colOff>2095500</xdr:colOff>
      <xdr:row>2</xdr:row>
      <xdr:rowOff>85042</xdr:rowOff>
    </xdr:from>
    <xdr:to>
      <xdr:col>5</xdr:col>
      <xdr:colOff>1371600</xdr:colOff>
      <xdr:row>3</xdr:row>
      <xdr:rowOff>76883</xdr:rowOff>
    </xdr:to>
    <xdr:sp macro="" textlink="'O1'!D10">
      <xdr:nvSpPr>
        <xdr:cNvPr id="19" name="Rectángulo 18">
          <a:hlinkClick xmlns:r="http://schemas.openxmlformats.org/officeDocument/2006/relationships" r:id="rId15"/>
          <a:extLst>
            <a:ext uri="{FF2B5EF4-FFF2-40B4-BE49-F238E27FC236}">
              <a16:creationId xmlns:a16="http://schemas.microsoft.com/office/drawing/2014/main" id="{074146FD-C080-4C81-A6A5-C89BC3C4FB27}"/>
            </a:ext>
          </a:extLst>
        </xdr:cNvPr>
        <xdr:cNvSpPr/>
      </xdr:nvSpPr>
      <xdr:spPr>
        <a:xfrm>
          <a:off x="8820150" y="894667"/>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50D9D654-0AC0-4B94-8C50-A2788FBBCB8F}" type="TxLink">
            <a:rPr lang="en-US" sz="1200" b="1" i="0" u="none" strike="noStrike">
              <a:solidFill>
                <a:schemeClr val="bg1"/>
              </a:solidFill>
              <a:latin typeface="Calibri"/>
              <a:cs typeface="Calibri"/>
            </a:rPr>
            <a:pPr algn="ctr"/>
            <a:t>Meta 3</a:t>
          </a:fld>
          <a:endParaRPr lang="en-US">
            <a:solidFill>
              <a:schemeClr val="bg1"/>
            </a:solidFill>
          </a:endParaRPr>
        </a:p>
      </xdr:txBody>
    </xdr:sp>
    <xdr:clientData/>
  </xdr:twoCellAnchor>
  <xdr:twoCellAnchor>
    <xdr:from>
      <xdr:col>6</xdr:col>
      <xdr:colOff>38100</xdr:colOff>
      <xdr:row>2</xdr:row>
      <xdr:rowOff>85042</xdr:rowOff>
    </xdr:from>
    <xdr:to>
      <xdr:col>7</xdr:col>
      <xdr:colOff>114300</xdr:colOff>
      <xdr:row>3</xdr:row>
      <xdr:rowOff>76883</xdr:rowOff>
    </xdr:to>
    <xdr:sp macro="" textlink="'O1'!E10">
      <xdr:nvSpPr>
        <xdr:cNvPr id="20" name="Rectángulo 19">
          <a:hlinkClick xmlns:r="http://schemas.openxmlformats.org/officeDocument/2006/relationships" r:id="rId16"/>
          <a:extLst>
            <a:ext uri="{FF2B5EF4-FFF2-40B4-BE49-F238E27FC236}">
              <a16:creationId xmlns:a16="http://schemas.microsoft.com/office/drawing/2014/main" id="{F3AF065B-0D21-4E52-819E-75C22E9AA2D1}"/>
            </a:ext>
          </a:extLst>
        </xdr:cNvPr>
        <xdr:cNvSpPr/>
      </xdr:nvSpPr>
      <xdr:spPr>
        <a:xfrm>
          <a:off x="10325100" y="894667"/>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71D0E313-FEB5-4F0B-BA82-D0292E46C713}" type="TxLink">
            <a:rPr lang="en-US" sz="1200" b="1" i="0" u="none" strike="noStrike">
              <a:solidFill>
                <a:schemeClr val="bg1"/>
              </a:solidFill>
              <a:latin typeface="Calibri"/>
              <a:cs typeface="Calibri"/>
            </a:rPr>
            <a:pPr algn="ctr"/>
            <a:t>Meta 4</a:t>
          </a:fld>
          <a:endParaRPr lang="en-US">
            <a:solidFill>
              <a:schemeClr val="bg1"/>
            </a:solidFill>
          </a:endParaRPr>
        </a:p>
      </xdr:txBody>
    </xdr:sp>
    <xdr:clientData/>
  </xdr:twoCellAnchor>
  <xdr:twoCellAnchor>
    <xdr:from>
      <xdr:col>7</xdr:col>
      <xdr:colOff>161925</xdr:colOff>
      <xdr:row>2</xdr:row>
      <xdr:rowOff>85042</xdr:rowOff>
    </xdr:from>
    <xdr:to>
      <xdr:col>8</xdr:col>
      <xdr:colOff>238125</xdr:colOff>
      <xdr:row>3</xdr:row>
      <xdr:rowOff>76883</xdr:rowOff>
    </xdr:to>
    <xdr:sp macro="" textlink="'O1'!F10">
      <xdr:nvSpPr>
        <xdr:cNvPr id="21" name="Rectángulo 20">
          <a:hlinkClick xmlns:r="http://schemas.openxmlformats.org/officeDocument/2006/relationships" r:id="rId17"/>
          <a:extLst>
            <a:ext uri="{FF2B5EF4-FFF2-40B4-BE49-F238E27FC236}">
              <a16:creationId xmlns:a16="http://schemas.microsoft.com/office/drawing/2014/main" id="{98B674EF-D877-4700-9A38-917C1CE8F023}"/>
            </a:ext>
          </a:extLst>
        </xdr:cNvPr>
        <xdr:cNvSpPr/>
      </xdr:nvSpPr>
      <xdr:spPr>
        <a:xfrm>
          <a:off x="11830050" y="894667"/>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8A4B2DD-BA81-4C05-854D-8E7BEDAE1771}" type="TxLink">
            <a:rPr lang="en-US" sz="1200" b="1" i="0" u="none" strike="noStrike">
              <a:solidFill>
                <a:schemeClr val="bg1"/>
              </a:solidFill>
              <a:latin typeface="Calibri"/>
              <a:cs typeface="Calibri"/>
            </a:rPr>
            <a:pPr algn="ctr"/>
            <a:t>Meta 5</a:t>
          </a:fld>
          <a:endParaRPr lang="en-US">
            <a:solidFill>
              <a:schemeClr val="bg1"/>
            </a:solidFill>
          </a:endParaRPr>
        </a:p>
      </xdr:txBody>
    </xdr:sp>
    <xdr:clientData/>
  </xdr:twoCellAnchor>
  <xdr:twoCellAnchor>
    <xdr:from>
      <xdr:col>8</xdr:col>
      <xdr:colOff>285750</xdr:colOff>
      <xdr:row>2</xdr:row>
      <xdr:rowOff>85042</xdr:rowOff>
    </xdr:from>
    <xdr:to>
      <xdr:col>10</xdr:col>
      <xdr:colOff>219075</xdr:colOff>
      <xdr:row>3</xdr:row>
      <xdr:rowOff>76883</xdr:rowOff>
    </xdr:to>
    <xdr:sp macro="" textlink="'O1'!G10">
      <xdr:nvSpPr>
        <xdr:cNvPr id="22" name="Rectángulo 21">
          <a:hlinkClick xmlns:r="http://schemas.openxmlformats.org/officeDocument/2006/relationships" r:id="rId18"/>
          <a:extLst>
            <a:ext uri="{FF2B5EF4-FFF2-40B4-BE49-F238E27FC236}">
              <a16:creationId xmlns:a16="http://schemas.microsoft.com/office/drawing/2014/main" id="{137DAB98-AFE3-4712-BD98-423F985DEEAA}"/>
            </a:ext>
          </a:extLst>
        </xdr:cNvPr>
        <xdr:cNvSpPr/>
      </xdr:nvSpPr>
      <xdr:spPr>
        <a:xfrm>
          <a:off x="13335000" y="894667"/>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2C6E37E-903D-484D-AF67-16E431ADA288}" type="TxLink">
            <a:rPr lang="en-US" sz="1200" b="1" i="0" u="none" strike="noStrike">
              <a:solidFill>
                <a:schemeClr val="bg1"/>
              </a:solidFill>
              <a:latin typeface="Calibri"/>
              <a:cs typeface="Calibri"/>
            </a:rPr>
            <a:pPr algn="ctr"/>
            <a:t>Meta 6</a:t>
          </a:fld>
          <a:endParaRPr lang="en-US">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1381125</xdr:colOff>
      <xdr:row>0</xdr:row>
      <xdr:rowOff>0</xdr:rowOff>
    </xdr:from>
    <xdr:to>
      <xdr:col>2</xdr:col>
      <xdr:colOff>1059474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17109527-EB97-40DD-8CA7-13E8B41B594E}"/>
            </a:ext>
          </a:extLst>
        </xdr:cNvPr>
        <xdr:cNvSpPr txBox="1"/>
      </xdr:nvSpPr>
      <xdr:spPr>
        <a:xfrm>
          <a:off x="15621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2</xdr:col>
      <xdr:colOff>1110762</xdr:colOff>
      <xdr:row>0</xdr:row>
      <xdr:rowOff>0</xdr:rowOff>
    </xdr:from>
    <xdr:to>
      <xdr:col>3</xdr:col>
      <xdr:colOff>1170110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6A3C8825-C316-4BF4-8871-51C3A9E48A1E}"/>
            </a:ext>
          </a:extLst>
        </xdr:cNvPr>
        <xdr:cNvSpPr txBox="1"/>
      </xdr:nvSpPr>
      <xdr:spPr>
        <a:xfrm>
          <a:off x="347296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3</xdr:col>
      <xdr:colOff>1215995</xdr:colOff>
      <xdr:row>0</xdr:row>
      <xdr:rowOff>0</xdr:rowOff>
    </xdr:from>
    <xdr:to>
      <xdr:col>4</xdr:col>
      <xdr:colOff>826477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50C28108-EDEC-4BDF-A88A-707EA123FE99}"/>
            </a:ext>
          </a:extLst>
        </xdr:cNvPr>
        <xdr:cNvSpPr txBox="1"/>
      </xdr:nvSpPr>
      <xdr:spPr>
        <a:xfrm>
          <a:off x="57594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4</xdr:col>
      <xdr:colOff>869886</xdr:colOff>
      <xdr:row>0</xdr:row>
      <xdr:rowOff>0</xdr:rowOff>
    </xdr:from>
    <xdr:to>
      <xdr:col>5</xdr:col>
      <xdr:colOff>680668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7F24BD0E-715A-41F8-87DB-311158AC36A0}"/>
            </a:ext>
          </a:extLst>
        </xdr:cNvPr>
        <xdr:cNvSpPr txBox="1"/>
      </xdr:nvSpPr>
      <xdr:spPr>
        <a:xfrm>
          <a:off x="75945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1381125</xdr:colOff>
      <xdr:row>0</xdr:row>
      <xdr:rowOff>0</xdr:rowOff>
    </xdr:from>
    <xdr:to>
      <xdr:col>1</xdr:col>
      <xdr:colOff>1879356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0AF3BE0B-F7E0-4CB6-9C9B-E467265ED2C7}"/>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5621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1132743</xdr:colOff>
      <xdr:row>0</xdr:row>
      <xdr:rowOff>14654</xdr:rowOff>
    </xdr:from>
    <xdr:to>
      <xdr:col>2</xdr:col>
      <xdr:colOff>1601664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7C7FD26A-841E-4946-AB15-5E201BBE28F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49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1236052</xdr:colOff>
      <xdr:row>0</xdr:row>
      <xdr:rowOff>0</xdr:rowOff>
    </xdr:from>
    <xdr:to>
      <xdr:col>3</xdr:col>
      <xdr:colOff>1631705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6A5B21A9-BD50-41DB-A48F-F7E1BF0395CD}"/>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7794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885090</xdr:colOff>
      <xdr:row>0</xdr:row>
      <xdr:rowOff>14654</xdr:rowOff>
    </xdr:from>
    <xdr:to>
      <xdr:col>4</xdr:col>
      <xdr:colOff>1463917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8918CB9D-9692-4939-9556-7C192A66FC5D}"/>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6097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xdr:row>
      <xdr:rowOff>9525</xdr:rowOff>
    </xdr:from>
    <xdr:to>
      <xdr:col>2</xdr:col>
      <xdr:colOff>2135842</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67A3B66F-FE11-44F7-B4A0-5941C326A1C0}"/>
            </a:ext>
          </a:extLst>
        </xdr:cNvPr>
        <xdr:cNvSpPr/>
      </xdr:nvSpPr>
      <xdr:spPr>
        <a:xfrm>
          <a:off x="2447925"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2</xdr:col>
      <xdr:colOff>2144933</xdr:colOff>
      <xdr:row>1</xdr:row>
      <xdr:rowOff>9525</xdr:rowOff>
    </xdr:from>
    <xdr:to>
      <xdr:col>3</xdr:col>
      <xdr:colOff>1288549</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694069BE-984A-4361-B448-EA20C14ED454}"/>
            </a:ext>
          </a:extLst>
        </xdr:cNvPr>
        <xdr:cNvSpPr/>
      </xdr:nvSpPr>
      <xdr:spPr>
        <a:xfrm>
          <a:off x="4507133"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3</xdr:col>
      <xdr:colOff>1298075</xdr:colOff>
      <xdr:row>1</xdr:row>
      <xdr:rowOff>9525</xdr:rowOff>
    </xdr:from>
    <xdr:to>
      <xdr:col>4</xdr:col>
      <xdr:colOff>268509</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4FC1D7AF-F68A-405B-8A12-CB376DBAA19F}"/>
            </a:ext>
          </a:extLst>
        </xdr:cNvPr>
        <xdr:cNvSpPr/>
      </xdr:nvSpPr>
      <xdr:spPr>
        <a:xfrm>
          <a:off x="5841500" y="504825"/>
          <a:ext cx="1151659"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tx1"/>
              </a:solidFill>
              <a:latin typeface="CALIBRI"/>
              <a:cs typeface="CALIBRI"/>
            </a:rPr>
            <a:pPr algn="ctr"/>
            <a:t>2.3. Objetivos</a:t>
          </a:fld>
          <a:endParaRPr lang="en-US" sz="1800" b="1">
            <a:solidFill>
              <a:schemeClr val="tx1"/>
            </a:solidFill>
          </a:endParaRPr>
        </a:p>
      </xdr:txBody>
    </xdr:sp>
    <xdr:clientData/>
  </xdr:twoCellAnchor>
  <xdr:twoCellAnchor>
    <xdr:from>
      <xdr:col>4</xdr:col>
      <xdr:colOff>287992</xdr:colOff>
      <xdr:row>1</xdr:row>
      <xdr:rowOff>9525</xdr:rowOff>
    </xdr:from>
    <xdr:to>
      <xdr:col>4</xdr:col>
      <xdr:colOff>2050117</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B8616DA8-463C-418C-9EDC-2414ABB7F500}"/>
            </a:ext>
          </a:extLst>
        </xdr:cNvPr>
        <xdr:cNvSpPr/>
      </xdr:nvSpPr>
      <xdr:spPr>
        <a:xfrm>
          <a:off x="7012642"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4</xdr:col>
      <xdr:colOff>2069167</xdr:colOff>
      <xdr:row>1</xdr:row>
      <xdr:rowOff>9525</xdr:rowOff>
    </xdr:from>
    <xdr:to>
      <xdr:col>5</xdr:col>
      <xdr:colOff>1345267</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E1540623-C7B0-4DBF-9E55-A146DBF9D0A4}"/>
            </a:ext>
          </a:extLst>
        </xdr:cNvPr>
        <xdr:cNvSpPr/>
      </xdr:nvSpPr>
      <xdr:spPr>
        <a:xfrm>
          <a:off x="8793817"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3</xdr:col>
      <xdr:colOff>1276350</xdr:colOff>
      <xdr:row>2</xdr:row>
      <xdr:rowOff>76200</xdr:rowOff>
    </xdr:from>
    <xdr:to>
      <xdr:col>4</xdr:col>
      <xdr:colOff>552450</xdr:colOff>
      <xdr:row>3</xdr:row>
      <xdr:rowOff>68041</xdr:rowOff>
    </xdr:to>
    <xdr:sp macro="" textlink="'O1'!B10">
      <xdr:nvSpPr>
        <xdr:cNvPr id="15" name="Rectángulo 14">
          <a:hlinkClick xmlns:r="http://schemas.openxmlformats.org/officeDocument/2006/relationships" r:id="rId11"/>
          <a:extLst>
            <a:ext uri="{FF2B5EF4-FFF2-40B4-BE49-F238E27FC236}">
              <a16:creationId xmlns:a16="http://schemas.microsoft.com/office/drawing/2014/main" id="{72C923D0-423E-4A5E-9148-E7330C175E0F}"/>
            </a:ext>
          </a:extLst>
        </xdr:cNvPr>
        <xdr:cNvSpPr/>
      </xdr:nvSpPr>
      <xdr:spPr>
        <a:xfrm>
          <a:off x="5819775" y="885825"/>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444BDD43-66CA-4FDD-B623-F44F35B48112}" type="TxLink">
            <a:rPr lang="en-US" sz="1200" b="1" i="0" u="none" strike="noStrike">
              <a:solidFill>
                <a:schemeClr val="bg1"/>
              </a:solidFill>
              <a:latin typeface="Calibri"/>
              <a:cs typeface="Calibri"/>
            </a:rPr>
            <a:pPr algn="ctr"/>
            <a:t>Meta 1</a:t>
          </a:fld>
          <a:endParaRPr lang="en-US">
            <a:solidFill>
              <a:schemeClr val="bg1"/>
            </a:solidFill>
          </a:endParaRPr>
        </a:p>
      </xdr:txBody>
    </xdr:sp>
    <xdr:clientData/>
  </xdr:twoCellAnchor>
  <xdr:twoCellAnchor>
    <xdr:from>
      <xdr:col>4</xdr:col>
      <xdr:colOff>600075</xdr:colOff>
      <xdr:row>2</xdr:row>
      <xdr:rowOff>76200</xdr:rowOff>
    </xdr:from>
    <xdr:to>
      <xdr:col>4</xdr:col>
      <xdr:colOff>2057400</xdr:colOff>
      <xdr:row>3</xdr:row>
      <xdr:rowOff>68041</xdr:rowOff>
    </xdr:to>
    <xdr:sp macro="" textlink="'O1'!C10">
      <xdr:nvSpPr>
        <xdr:cNvPr id="16" name="Rectángulo 15">
          <a:hlinkClick xmlns:r="http://schemas.openxmlformats.org/officeDocument/2006/relationships" r:id="rId14"/>
          <a:extLst>
            <a:ext uri="{FF2B5EF4-FFF2-40B4-BE49-F238E27FC236}">
              <a16:creationId xmlns:a16="http://schemas.microsoft.com/office/drawing/2014/main" id="{25E205F5-4239-4E7C-8B74-184BDEE57560}"/>
            </a:ext>
          </a:extLst>
        </xdr:cNvPr>
        <xdr:cNvSpPr/>
      </xdr:nvSpPr>
      <xdr:spPr>
        <a:xfrm>
          <a:off x="7324725" y="885825"/>
          <a:ext cx="1457325"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3CA94B9-5EDC-464C-A2C5-0F7274AD8131}" type="TxLink">
            <a:rPr lang="en-US" sz="1200" b="1" i="0" u="none" strike="noStrike">
              <a:solidFill>
                <a:schemeClr val="tx1"/>
              </a:solidFill>
              <a:latin typeface="Calibri"/>
              <a:cs typeface="Calibri"/>
            </a:rPr>
            <a:pPr algn="ctr"/>
            <a:t>Meta 2</a:t>
          </a:fld>
          <a:endParaRPr lang="en-US">
            <a:solidFill>
              <a:schemeClr val="tx1"/>
            </a:solidFill>
          </a:endParaRPr>
        </a:p>
      </xdr:txBody>
    </xdr:sp>
    <xdr:clientData/>
  </xdr:twoCellAnchor>
  <xdr:twoCellAnchor>
    <xdr:from>
      <xdr:col>4</xdr:col>
      <xdr:colOff>2105025</xdr:colOff>
      <xdr:row>2</xdr:row>
      <xdr:rowOff>76200</xdr:rowOff>
    </xdr:from>
    <xdr:to>
      <xdr:col>6</xdr:col>
      <xdr:colOff>0</xdr:colOff>
      <xdr:row>3</xdr:row>
      <xdr:rowOff>68041</xdr:rowOff>
    </xdr:to>
    <xdr:sp macro="" textlink="'O1'!D10">
      <xdr:nvSpPr>
        <xdr:cNvPr id="17" name="Rectángulo 16">
          <a:hlinkClick xmlns:r="http://schemas.openxmlformats.org/officeDocument/2006/relationships" r:id="rId15"/>
          <a:extLst>
            <a:ext uri="{FF2B5EF4-FFF2-40B4-BE49-F238E27FC236}">
              <a16:creationId xmlns:a16="http://schemas.microsoft.com/office/drawing/2014/main" id="{B18EAD7C-0A47-4D0A-BB9E-B6BA1A1487DE}"/>
            </a:ext>
          </a:extLst>
        </xdr:cNvPr>
        <xdr:cNvSpPr/>
      </xdr:nvSpPr>
      <xdr:spPr>
        <a:xfrm>
          <a:off x="8829675" y="885825"/>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50D9D654-0AC0-4B94-8C50-A2788FBBCB8F}" type="TxLink">
            <a:rPr lang="en-US" sz="1200" b="1" i="0" u="none" strike="noStrike">
              <a:solidFill>
                <a:schemeClr val="bg1"/>
              </a:solidFill>
              <a:latin typeface="Calibri"/>
              <a:cs typeface="Calibri"/>
            </a:rPr>
            <a:pPr algn="ctr"/>
            <a:t>Meta 3</a:t>
          </a:fld>
          <a:endParaRPr lang="en-US">
            <a:solidFill>
              <a:schemeClr val="bg1"/>
            </a:solidFill>
          </a:endParaRPr>
        </a:p>
      </xdr:txBody>
    </xdr:sp>
    <xdr:clientData/>
  </xdr:twoCellAnchor>
  <xdr:twoCellAnchor>
    <xdr:from>
      <xdr:col>6</xdr:col>
      <xdr:colOff>47625</xdr:colOff>
      <xdr:row>2</xdr:row>
      <xdr:rowOff>76200</xdr:rowOff>
    </xdr:from>
    <xdr:to>
      <xdr:col>7</xdr:col>
      <xdr:colOff>123825</xdr:colOff>
      <xdr:row>3</xdr:row>
      <xdr:rowOff>68041</xdr:rowOff>
    </xdr:to>
    <xdr:sp macro="" textlink="'O1'!E10">
      <xdr:nvSpPr>
        <xdr:cNvPr id="18" name="Rectángulo 17">
          <a:hlinkClick xmlns:r="http://schemas.openxmlformats.org/officeDocument/2006/relationships" r:id="rId16"/>
          <a:extLst>
            <a:ext uri="{FF2B5EF4-FFF2-40B4-BE49-F238E27FC236}">
              <a16:creationId xmlns:a16="http://schemas.microsoft.com/office/drawing/2014/main" id="{E5A55FAD-FCE6-4209-9BA8-DB4ABCF13167}"/>
            </a:ext>
          </a:extLst>
        </xdr:cNvPr>
        <xdr:cNvSpPr/>
      </xdr:nvSpPr>
      <xdr:spPr>
        <a:xfrm>
          <a:off x="10334625" y="885825"/>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71D0E313-FEB5-4F0B-BA82-D0292E46C713}" type="TxLink">
            <a:rPr lang="en-US" sz="1200" b="1" i="0" u="none" strike="noStrike">
              <a:solidFill>
                <a:schemeClr val="bg1"/>
              </a:solidFill>
              <a:latin typeface="Calibri"/>
              <a:cs typeface="Calibri"/>
            </a:rPr>
            <a:pPr algn="ctr"/>
            <a:t>Meta 4</a:t>
          </a:fld>
          <a:endParaRPr lang="en-US">
            <a:solidFill>
              <a:schemeClr val="bg1"/>
            </a:solidFill>
          </a:endParaRPr>
        </a:p>
      </xdr:txBody>
    </xdr:sp>
    <xdr:clientData/>
  </xdr:twoCellAnchor>
  <xdr:twoCellAnchor>
    <xdr:from>
      <xdr:col>7</xdr:col>
      <xdr:colOff>171450</xdr:colOff>
      <xdr:row>2</xdr:row>
      <xdr:rowOff>76200</xdr:rowOff>
    </xdr:from>
    <xdr:to>
      <xdr:col>8</xdr:col>
      <xdr:colOff>247650</xdr:colOff>
      <xdr:row>3</xdr:row>
      <xdr:rowOff>68041</xdr:rowOff>
    </xdr:to>
    <xdr:sp macro="" textlink="'O1'!F10">
      <xdr:nvSpPr>
        <xdr:cNvPr id="19" name="Rectángulo 18">
          <a:hlinkClick xmlns:r="http://schemas.openxmlformats.org/officeDocument/2006/relationships" r:id="rId17"/>
          <a:extLst>
            <a:ext uri="{FF2B5EF4-FFF2-40B4-BE49-F238E27FC236}">
              <a16:creationId xmlns:a16="http://schemas.microsoft.com/office/drawing/2014/main" id="{CAEFEFD5-2B1F-4F9D-A749-C924C3CEDDC1}"/>
            </a:ext>
          </a:extLst>
        </xdr:cNvPr>
        <xdr:cNvSpPr/>
      </xdr:nvSpPr>
      <xdr:spPr>
        <a:xfrm>
          <a:off x="11839575" y="885825"/>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8A4B2DD-BA81-4C05-854D-8E7BEDAE1771}" type="TxLink">
            <a:rPr lang="en-US" sz="1200" b="1" i="0" u="none" strike="noStrike">
              <a:solidFill>
                <a:schemeClr val="bg1"/>
              </a:solidFill>
              <a:latin typeface="Calibri"/>
              <a:cs typeface="Calibri"/>
            </a:rPr>
            <a:pPr algn="ctr"/>
            <a:t>Meta 5</a:t>
          </a:fld>
          <a:endParaRPr lang="en-US">
            <a:solidFill>
              <a:schemeClr val="bg1"/>
            </a:solidFill>
          </a:endParaRPr>
        </a:p>
      </xdr:txBody>
    </xdr:sp>
    <xdr:clientData/>
  </xdr:twoCellAnchor>
  <xdr:twoCellAnchor>
    <xdr:from>
      <xdr:col>8</xdr:col>
      <xdr:colOff>295275</xdr:colOff>
      <xdr:row>2</xdr:row>
      <xdr:rowOff>76200</xdr:rowOff>
    </xdr:from>
    <xdr:to>
      <xdr:col>10</xdr:col>
      <xdr:colOff>228600</xdr:colOff>
      <xdr:row>3</xdr:row>
      <xdr:rowOff>68041</xdr:rowOff>
    </xdr:to>
    <xdr:sp macro="" textlink="'O1'!G10">
      <xdr:nvSpPr>
        <xdr:cNvPr id="20" name="Rectángulo 19">
          <a:hlinkClick xmlns:r="http://schemas.openxmlformats.org/officeDocument/2006/relationships" r:id="rId18"/>
          <a:extLst>
            <a:ext uri="{FF2B5EF4-FFF2-40B4-BE49-F238E27FC236}">
              <a16:creationId xmlns:a16="http://schemas.microsoft.com/office/drawing/2014/main" id="{B0933BFD-9875-4DF4-82E1-0B6E4969A47D}"/>
            </a:ext>
          </a:extLst>
        </xdr:cNvPr>
        <xdr:cNvSpPr/>
      </xdr:nvSpPr>
      <xdr:spPr>
        <a:xfrm>
          <a:off x="13344525" y="885825"/>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2C6E37E-903D-484D-AF67-16E431ADA288}" type="TxLink">
            <a:rPr lang="en-US" sz="1200" b="1" i="0" u="none" strike="noStrike">
              <a:solidFill>
                <a:schemeClr val="bg1"/>
              </a:solidFill>
              <a:latin typeface="Calibri"/>
              <a:cs typeface="Calibri"/>
            </a:rPr>
            <a:pPr algn="ctr"/>
            <a:t>Meta 6</a:t>
          </a:fld>
          <a:endParaRPr lang="en-US">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1381125</xdr:colOff>
      <xdr:row>0</xdr:row>
      <xdr:rowOff>0</xdr:rowOff>
    </xdr:from>
    <xdr:to>
      <xdr:col>2</xdr:col>
      <xdr:colOff>1059474</xdr:colOff>
      <xdr:row>0</xdr:row>
      <xdr:rowOff>493258</xdr:rowOff>
    </xdr:to>
    <xdr:sp macro="" textlink="Lan!F11">
      <xdr:nvSpPr>
        <xdr:cNvPr id="2" name="TextBox 3">
          <a:hlinkClick xmlns:r="http://schemas.openxmlformats.org/officeDocument/2006/relationships" r:id="rId1"/>
          <a:extLst>
            <a:ext uri="{FF2B5EF4-FFF2-40B4-BE49-F238E27FC236}">
              <a16:creationId xmlns:a16="http://schemas.microsoft.com/office/drawing/2014/main" id="{146F8328-C34F-4B73-9683-A569A6CC88B5}"/>
            </a:ext>
          </a:extLst>
        </xdr:cNvPr>
        <xdr:cNvSpPr txBox="1"/>
      </xdr:nvSpPr>
      <xdr:spPr>
        <a:xfrm>
          <a:off x="1562100" y="0"/>
          <a:ext cx="1859574"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EE2A1F7F-3B0A-4550-A568-5649F0CB4876}" type="TxLink">
            <a:rPr lang="en-US" sz="1400" b="1" i="0" u="none" strike="noStrike">
              <a:solidFill>
                <a:schemeClr val="bg1"/>
              </a:solidFill>
              <a:latin typeface="CALIBRI"/>
              <a:cs typeface="CALIBRI"/>
            </a:rPr>
            <a:pPr algn="r"/>
            <a:t>1. AJUSTES</a:t>
          </a:fld>
          <a:endParaRPr lang="fr-CA" sz="1400" b="1" u="none">
            <a:solidFill>
              <a:schemeClr val="bg1"/>
            </a:solidFill>
          </a:endParaRPr>
        </a:p>
      </xdr:txBody>
    </xdr:sp>
    <xdr:clientData/>
  </xdr:twoCellAnchor>
  <xdr:twoCellAnchor editAs="absolute">
    <xdr:from>
      <xdr:col>2</xdr:col>
      <xdr:colOff>1110762</xdr:colOff>
      <xdr:row>0</xdr:row>
      <xdr:rowOff>0</xdr:rowOff>
    </xdr:from>
    <xdr:to>
      <xdr:col>3</xdr:col>
      <xdr:colOff>1170110</xdr:colOff>
      <xdr:row>0</xdr:row>
      <xdr:rowOff>493258</xdr:rowOff>
    </xdr:to>
    <xdr:sp macro="" textlink="Lan!F29">
      <xdr:nvSpPr>
        <xdr:cNvPr id="3" name="TextBox 3">
          <a:hlinkClick xmlns:r="http://schemas.openxmlformats.org/officeDocument/2006/relationships" r:id="rId2"/>
          <a:extLst>
            <a:ext uri="{FF2B5EF4-FFF2-40B4-BE49-F238E27FC236}">
              <a16:creationId xmlns:a16="http://schemas.microsoft.com/office/drawing/2014/main" id="{FDFB0BC9-5187-4F29-8421-C492A4F994CA}"/>
            </a:ext>
          </a:extLst>
        </xdr:cNvPr>
        <xdr:cNvSpPr txBox="1"/>
      </xdr:nvSpPr>
      <xdr:spPr>
        <a:xfrm>
          <a:off x="3472962" y="0"/>
          <a:ext cx="2240573" cy="493258"/>
        </a:xfrm>
        <a:prstGeom prst="rect">
          <a:avLst/>
        </a:prstGeom>
        <a:solidFill>
          <a:schemeClr val="tx2">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360D3C0D-3C97-4FA4-9291-AAE58B9B8EF7}" type="TxLink">
            <a:rPr lang="en-US" sz="1400" b="1" i="0" u="none" strike="noStrike">
              <a:solidFill>
                <a:schemeClr val="bg1"/>
              </a:solidFill>
              <a:latin typeface="CALIBRI"/>
              <a:cs typeface="CALIBRI"/>
            </a:rPr>
            <a:pPr algn="r"/>
            <a:t>2. PLAN ESTRATÉGICO</a:t>
          </a:fld>
          <a:endParaRPr lang="fr-CA" sz="2400" b="1" u="none">
            <a:solidFill>
              <a:schemeClr val="bg1"/>
            </a:solidFill>
          </a:endParaRPr>
        </a:p>
      </xdr:txBody>
    </xdr:sp>
    <xdr:clientData/>
  </xdr:twoCellAnchor>
  <xdr:twoCellAnchor editAs="absolute">
    <xdr:from>
      <xdr:col>3</xdr:col>
      <xdr:colOff>1215995</xdr:colOff>
      <xdr:row>0</xdr:row>
      <xdr:rowOff>0</xdr:rowOff>
    </xdr:from>
    <xdr:to>
      <xdr:col>4</xdr:col>
      <xdr:colOff>826477</xdr:colOff>
      <xdr:row>0</xdr:row>
      <xdr:rowOff>493258</xdr:rowOff>
    </xdr:to>
    <xdr:sp macro="" textlink="Lan!F83">
      <xdr:nvSpPr>
        <xdr:cNvPr id="4" name="TextBox 3">
          <a:hlinkClick xmlns:r="http://schemas.openxmlformats.org/officeDocument/2006/relationships" r:id="rId3"/>
          <a:extLst>
            <a:ext uri="{FF2B5EF4-FFF2-40B4-BE49-F238E27FC236}">
              <a16:creationId xmlns:a16="http://schemas.microsoft.com/office/drawing/2014/main" id="{7257C123-F2AE-4C89-B8D4-D010932CF025}"/>
            </a:ext>
          </a:extLst>
        </xdr:cNvPr>
        <xdr:cNvSpPr txBox="1"/>
      </xdr:nvSpPr>
      <xdr:spPr>
        <a:xfrm>
          <a:off x="5759420" y="0"/>
          <a:ext cx="17917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DF3A562F-240A-4F70-9F26-84242AD37B40}" type="TxLink">
            <a:rPr lang="en-US" sz="1400" b="1" i="0" u="none" strike="noStrike">
              <a:solidFill>
                <a:schemeClr val="bg1"/>
              </a:solidFill>
              <a:latin typeface="CALIBRI"/>
              <a:cs typeface="CALIBRI"/>
            </a:rPr>
            <a:pPr algn="r"/>
            <a:t>3. REPORTES</a:t>
          </a:fld>
          <a:endParaRPr lang="fr-CA" sz="2400" b="1" u="none">
            <a:solidFill>
              <a:schemeClr val="bg1"/>
            </a:solidFill>
          </a:endParaRPr>
        </a:p>
      </xdr:txBody>
    </xdr:sp>
    <xdr:clientData/>
  </xdr:twoCellAnchor>
  <xdr:twoCellAnchor editAs="absolute">
    <xdr:from>
      <xdr:col>4</xdr:col>
      <xdr:colOff>869886</xdr:colOff>
      <xdr:row>0</xdr:row>
      <xdr:rowOff>0</xdr:rowOff>
    </xdr:from>
    <xdr:to>
      <xdr:col>5</xdr:col>
      <xdr:colOff>680668</xdr:colOff>
      <xdr:row>0</xdr:row>
      <xdr:rowOff>493258</xdr:rowOff>
    </xdr:to>
    <xdr:sp macro="" textlink="Lan!F86">
      <xdr:nvSpPr>
        <xdr:cNvPr id="5" name="TextBox 3">
          <a:hlinkClick xmlns:r="http://schemas.openxmlformats.org/officeDocument/2006/relationships" r:id="rId4"/>
          <a:extLst>
            <a:ext uri="{FF2B5EF4-FFF2-40B4-BE49-F238E27FC236}">
              <a16:creationId xmlns:a16="http://schemas.microsoft.com/office/drawing/2014/main" id="{54F46C27-7929-4782-ACFF-9C3DAD61304C}"/>
            </a:ext>
          </a:extLst>
        </xdr:cNvPr>
        <xdr:cNvSpPr txBox="1"/>
      </xdr:nvSpPr>
      <xdr:spPr>
        <a:xfrm>
          <a:off x="7594536" y="0"/>
          <a:ext cx="1992007" cy="493258"/>
        </a:xfrm>
        <a:prstGeom prst="rect">
          <a:avLst/>
        </a:prstGeom>
        <a:solidFill>
          <a:schemeClr val="tx1">
            <a:lumMod val="95000"/>
            <a:lumOff val="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5EA963EC-0A54-426A-A3C2-CF9C430BE312}" type="TxLink">
            <a:rPr lang="en-US" sz="1400" b="1" i="0" u="none" strike="noStrike">
              <a:solidFill>
                <a:schemeClr val="bg1"/>
              </a:solidFill>
              <a:latin typeface="CALIBRI"/>
              <a:cs typeface="CALIBRI"/>
            </a:rPr>
            <a:pPr algn="r"/>
            <a:t>4. DASHBOARDS</a:t>
          </a:fld>
          <a:endParaRPr lang="fr-CA" sz="4000" b="1" u="none">
            <a:solidFill>
              <a:schemeClr val="bg1"/>
            </a:solidFill>
          </a:endParaRPr>
        </a:p>
      </xdr:txBody>
    </xdr:sp>
    <xdr:clientData/>
  </xdr:twoCellAnchor>
  <xdr:twoCellAnchor editAs="absolute">
    <xdr:from>
      <xdr:col>1</xdr:col>
      <xdr:colOff>1381125</xdr:colOff>
      <xdr:row>0</xdr:row>
      <xdr:rowOff>0</xdr:rowOff>
    </xdr:from>
    <xdr:to>
      <xdr:col>1</xdr:col>
      <xdr:colOff>1879356</xdr:colOff>
      <xdr:row>0</xdr:row>
      <xdr:rowOff>481496</xdr:rowOff>
    </xdr:to>
    <xdr:pic>
      <xdr:nvPicPr>
        <xdr:cNvPr id="6" name="Imagen 5" descr="Settings Icon of Flat style - Available in SVG, PNG, EPS, AI &amp; Icon fonts">
          <a:hlinkClick xmlns:r="http://schemas.openxmlformats.org/officeDocument/2006/relationships" r:id="rId1"/>
          <a:extLst>
            <a:ext uri="{FF2B5EF4-FFF2-40B4-BE49-F238E27FC236}">
              <a16:creationId xmlns:a16="http://schemas.microsoft.com/office/drawing/2014/main" id="{3576932D-1D90-4D4B-90D0-3BFB1398D8EE}"/>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55" r="8739" b="1493"/>
        <a:stretch/>
      </xdr:blipFill>
      <xdr:spPr bwMode="auto">
        <a:xfrm>
          <a:off x="1562100" y="0"/>
          <a:ext cx="498231" cy="481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1132743</xdr:colOff>
      <xdr:row>0</xdr:row>
      <xdr:rowOff>14654</xdr:rowOff>
    </xdr:from>
    <xdr:to>
      <xdr:col>2</xdr:col>
      <xdr:colOff>1601664</xdr:colOff>
      <xdr:row>0</xdr:row>
      <xdr:rowOff>485740</xdr:rowOff>
    </xdr:to>
    <xdr:pic>
      <xdr:nvPicPr>
        <xdr:cNvPr id="7" name="Imagen 6" descr="Strategy Clipart Icon Web Icons Png - Strategy Icon Png Transparent Png -  Full Size Clipart (#137502) - PinClipart">
          <a:hlinkClick xmlns:r="http://schemas.openxmlformats.org/officeDocument/2006/relationships" r:id="rId2"/>
          <a:extLst>
            <a:ext uri="{FF2B5EF4-FFF2-40B4-BE49-F238E27FC236}">
              <a16:creationId xmlns:a16="http://schemas.microsoft.com/office/drawing/2014/main" id="{0DF6F32B-A71F-4F93-AB0B-8F4A3365FD0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4943" y="14654"/>
          <a:ext cx="468921" cy="4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1236052</xdr:colOff>
      <xdr:row>0</xdr:row>
      <xdr:rowOff>0</xdr:rowOff>
    </xdr:from>
    <xdr:to>
      <xdr:col>3</xdr:col>
      <xdr:colOff>1631705</xdr:colOff>
      <xdr:row>0</xdr:row>
      <xdr:rowOff>476812</xdr:rowOff>
    </xdr:to>
    <xdr:pic>
      <xdr:nvPicPr>
        <xdr:cNvPr id="8" name="Imagen 7" descr="report - Image Storage - Reedsburg, Wisconsin">
          <a:hlinkClick xmlns:r="http://schemas.openxmlformats.org/officeDocument/2006/relationships" r:id="rId3"/>
          <a:extLst>
            <a:ext uri="{FF2B5EF4-FFF2-40B4-BE49-F238E27FC236}">
              <a16:creationId xmlns:a16="http://schemas.microsoft.com/office/drawing/2014/main" id="{89353AD2-CD22-4A7F-9F7A-6B38DD148386}"/>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l="6265" t="2543" r="4902" b="1800"/>
        <a:stretch/>
      </xdr:blipFill>
      <xdr:spPr bwMode="auto">
        <a:xfrm>
          <a:off x="5779477" y="0"/>
          <a:ext cx="395653" cy="47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885090</xdr:colOff>
      <xdr:row>0</xdr:row>
      <xdr:rowOff>14654</xdr:rowOff>
    </xdr:from>
    <xdr:to>
      <xdr:col>4</xdr:col>
      <xdr:colOff>1463917</xdr:colOff>
      <xdr:row>0</xdr:row>
      <xdr:rowOff>492340</xdr:rowOff>
    </xdr:to>
    <xdr:pic>
      <xdr:nvPicPr>
        <xdr:cNvPr id="9" name="Imagen 8" descr="Dashboards Icon #145224 - Free Icons Library">
          <a:hlinkClick xmlns:r="http://schemas.openxmlformats.org/officeDocument/2006/relationships" r:id="rId4"/>
          <a:extLst>
            <a:ext uri="{FF2B5EF4-FFF2-40B4-BE49-F238E27FC236}">
              <a16:creationId xmlns:a16="http://schemas.microsoft.com/office/drawing/2014/main" id="{D112F98A-0C82-4651-8350-CF39431975D9}"/>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650" b="8922"/>
        <a:stretch/>
      </xdr:blipFill>
      <xdr:spPr bwMode="auto">
        <a:xfrm>
          <a:off x="7609740" y="14654"/>
          <a:ext cx="578827" cy="4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1</xdr:row>
      <xdr:rowOff>9525</xdr:rowOff>
    </xdr:from>
    <xdr:to>
      <xdr:col>2</xdr:col>
      <xdr:colOff>2107267</xdr:colOff>
      <xdr:row>1</xdr:row>
      <xdr:rowOff>312084</xdr:rowOff>
    </xdr:to>
    <xdr:sp macro="" textlink="Lan!F30">
      <xdr:nvSpPr>
        <xdr:cNvPr id="10" name="Rectángulo 9">
          <a:hlinkClick xmlns:r="http://schemas.openxmlformats.org/officeDocument/2006/relationships" r:id="rId2"/>
          <a:extLst>
            <a:ext uri="{FF2B5EF4-FFF2-40B4-BE49-F238E27FC236}">
              <a16:creationId xmlns:a16="http://schemas.microsoft.com/office/drawing/2014/main" id="{55F95543-7962-410A-A6F6-9D67B7456232}"/>
            </a:ext>
          </a:extLst>
        </xdr:cNvPr>
        <xdr:cNvSpPr/>
      </xdr:nvSpPr>
      <xdr:spPr>
        <a:xfrm>
          <a:off x="2419350" y="504825"/>
          <a:ext cx="2050117"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B36CA80-2B3B-4A05-A6D4-13767124CC4E}" type="TxLink">
            <a:rPr lang="en-US" sz="1100" b="1" i="0" u="none" strike="noStrike">
              <a:solidFill>
                <a:schemeClr val="bg1"/>
              </a:solidFill>
              <a:latin typeface="CALIBRI"/>
              <a:cs typeface="CALIBRI"/>
            </a:rPr>
            <a:pPr algn="ctr"/>
            <a:t>2.1. Declaraciones de estrategia</a:t>
          </a:fld>
          <a:endParaRPr lang="en-US" sz="1800" b="1">
            <a:solidFill>
              <a:schemeClr val="bg1"/>
            </a:solidFill>
          </a:endParaRPr>
        </a:p>
      </xdr:txBody>
    </xdr:sp>
    <xdr:clientData/>
  </xdr:twoCellAnchor>
  <xdr:twoCellAnchor>
    <xdr:from>
      <xdr:col>2</xdr:col>
      <xdr:colOff>2116358</xdr:colOff>
      <xdr:row>1</xdr:row>
      <xdr:rowOff>9525</xdr:rowOff>
    </xdr:from>
    <xdr:to>
      <xdr:col>3</xdr:col>
      <xdr:colOff>1259974</xdr:colOff>
      <xdr:row>1</xdr:row>
      <xdr:rowOff>312084</xdr:rowOff>
    </xdr:to>
    <xdr:sp macro="" textlink="Lan!F37">
      <xdr:nvSpPr>
        <xdr:cNvPr id="11" name="Rectángulo 10">
          <a:hlinkClick xmlns:r="http://schemas.openxmlformats.org/officeDocument/2006/relationships" r:id="rId10"/>
          <a:extLst>
            <a:ext uri="{FF2B5EF4-FFF2-40B4-BE49-F238E27FC236}">
              <a16:creationId xmlns:a16="http://schemas.microsoft.com/office/drawing/2014/main" id="{97042B70-C14D-4C5A-A837-38C7D8052246}"/>
            </a:ext>
          </a:extLst>
        </xdr:cNvPr>
        <xdr:cNvSpPr/>
      </xdr:nvSpPr>
      <xdr:spPr>
        <a:xfrm>
          <a:off x="4478558" y="504825"/>
          <a:ext cx="1324841"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43469986-0787-48A8-97EF-69947E457525}" type="TxLink">
            <a:rPr lang="en-US" sz="1100" b="1" i="0" u="none" strike="noStrike">
              <a:solidFill>
                <a:schemeClr val="bg1"/>
              </a:solidFill>
              <a:latin typeface="CALIBRI"/>
              <a:cs typeface="CALIBRI"/>
            </a:rPr>
            <a:pPr algn="ctr"/>
            <a:t>2.2. Metas estratégicas</a:t>
          </a:fld>
          <a:endParaRPr lang="en-US" sz="1800" b="1">
            <a:solidFill>
              <a:schemeClr val="bg1"/>
            </a:solidFill>
          </a:endParaRPr>
        </a:p>
      </xdr:txBody>
    </xdr:sp>
    <xdr:clientData/>
  </xdr:twoCellAnchor>
  <xdr:twoCellAnchor>
    <xdr:from>
      <xdr:col>3</xdr:col>
      <xdr:colOff>1269500</xdr:colOff>
      <xdr:row>1</xdr:row>
      <xdr:rowOff>9525</xdr:rowOff>
    </xdr:from>
    <xdr:to>
      <xdr:col>4</xdr:col>
      <xdr:colOff>239934</xdr:colOff>
      <xdr:row>1</xdr:row>
      <xdr:rowOff>312084</xdr:rowOff>
    </xdr:to>
    <xdr:sp macro="" textlink="Lan!F43">
      <xdr:nvSpPr>
        <xdr:cNvPr id="12" name="Rectángulo 11">
          <a:hlinkClick xmlns:r="http://schemas.openxmlformats.org/officeDocument/2006/relationships" r:id="rId11"/>
          <a:extLst>
            <a:ext uri="{FF2B5EF4-FFF2-40B4-BE49-F238E27FC236}">
              <a16:creationId xmlns:a16="http://schemas.microsoft.com/office/drawing/2014/main" id="{A36005D6-08F6-4B39-AD15-588B95EC9728}"/>
            </a:ext>
          </a:extLst>
        </xdr:cNvPr>
        <xdr:cNvSpPr/>
      </xdr:nvSpPr>
      <xdr:spPr>
        <a:xfrm>
          <a:off x="5812925" y="504825"/>
          <a:ext cx="1151659" cy="302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9C00FB14-D049-4746-B7BB-902EE286C0D8}" type="TxLink">
            <a:rPr lang="en-US" sz="1100" b="1" i="0" u="none" strike="noStrike">
              <a:solidFill>
                <a:schemeClr val="tx1"/>
              </a:solidFill>
              <a:latin typeface="CALIBRI"/>
              <a:cs typeface="CALIBRI"/>
            </a:rPr>
            <a:pPr algn="ctr"/>
            <a:t>2.3. Objetivos</a:t>
          </a:fld>
          <a:endParaRPr lang="en-US" sz="1800" b="1">
            <a:solidFill>
              <a:schemeClr val="tx1"/>
            </a:solidFill>
          </a:endParaRPr>
        </a:p>
      </xdr:txBody>
    </xdr:sp>
    <xdr:clientData/>
  </xdr:twoCellAnchor>
  <xdr:twoCellAnchor>
    <xdr:from>
      <xdr:col>4</xdr:col>
      <xdr:colOff>259417</xdr:colOff>
      <xdr:row>1</xdr:row>
      <xdr:rowOff>9525</xdr:rowOff>
    </xdr:from>
    <xdr:to>
      <xdr:col>4</xdr:col>
      <xdr:colOff>2021542</xdr:colOff>
      <xdr:row>1</xdr:row>
      <xdr:rowOff>312084</xdr:rowOff>
    </xdr:to>
    <xdr:sp macro="" textlink="Lan!F54">
      <xdr:nvSpPr>
        <xdr:cNvPr id="13" name="Rectángulo 12">
          <a:hlinkClick xmlns:r="http://schemas.openxmlformats.org/officeDocument/2006/relationships" r:id="rId12"/>
          <a:extLst>
            <a:ext uri="{FF2B5EF4-FFF2-40B4-BE49-F238E27FC236}">
              <a16:creationId xmlns:a16="http://schemas.microsoft.com/office/drawing/2014/main" id="{4134F1FD-FC81-4D13-8FED-DBC81C3D421F}"/>
            </a:ext>
          </a:extLst>
        </xdr:cNvPr>
        <xdr:cNvSpPr/>
      </xdr:nvSpPr>
      <xdr:spPr>
        <a:xfrm>
          <a:off x="6984067" y="504825"/>
          <a:ext cx="17621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F5F915B-B08F-452D-B748-0A9B37F934CE}" type="TxLink">
            <a:rPr lang="en-US" sz="1100" b="1" i="0" u="none" strike="noStrike">
              <a:solidFill>
                <a:schemeClr val="bg1"/>
              </a:solidFill>
              <a:latin typeface="CALIBRI"/>
              <a:cs typeface="CALIBRI"/>
            </a:rPr>
            <a:pPr algn="ctr"/>
            <a:t>2.4. Seguimiento de KPI´s</a:t>
          </a:fld>
          <a:endParaRPr lang="en-US" sz="2400" b="1">
            <a:solidFill>
              <a:schemeClr val="bg1"/>
            </a:solidFill>
          </a:endParaRPr>
        </a:p>
      </xdr:txBody>
    </xdr:sp>
    <xdr:clientData/>
  </xdr:twoCellAnchor>
  <xdr:twoCellAnchor>
    <xdr:from>
      <xdr:col>4</xdr:col>
      <xdr:colOff>2040592</xdr:colOff>
      <xdr:row>1</xdr:row>
      <xdr:rowOff>9525</xdr:rowOff>
    </xdr:from>
    <xdr:to>
      <xdr:col>5</xdr:col>
      <xdr:colOff>1316692</xdr:colOff>
      <xdr:row>1</xdr:row>
      <xdr:rowOff>312084</xdr:rowOff>
    </xdr:to>
    <xdr:sp macro="" textlink="Lan!F62">
      <xdr:nvSpPr>
        <xdr:cNvPr id="14" name="Rectángulo 13">
          <a:hlinkClick xmlns:r="http://schemas.openxmlformats.org/officeDocument/2006/relationships" r:id="rId13"/>
          <a:extLst>
            <a:ext uri="{FF2B5EF4-FFF2-40B4-BE49-F238E27FC236}">
              <a16:creationId xmlns:a16="http://schemas.microsoft.com/office/drawing/2014/main" id="{0D97D222-D20D-4B31-A868-CF7B6D84BEAA}"/>
            </a:ext>
          </a:extLst>
        </xdr:cNvPr>
        <xdr:cNvSpPr/>
      </xdr:nvSpPr>
      <xdr:spPr>
        <a:xfrm>
          <a:off x="8765242" y="504825"/>
          <a:ext cx="1457325" cy="302559"/>
        </a:xfrm>
        <a:prstGeom prst="rect">
          <a:avLst/>
        </a:prstGeom>
        <a:solidFill>
          <a:srgbClr val="0721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0001A9-C65B-4498-A66E-B261542E331F}" type="TxLink">
            <a:rPr lang="en-US" sz="1100" b="1" i="0" u="none" strike="noStrike">
              <a:solidFill>
                <a:schemeClr val="bg1"/>
              </a:solidFill>
              <a:latin typeface="CALIBRI"/>
              <a:cs typeface="CALIBRI"/>
            </a:rPr>
            <a:pPr algn="ctr"/>
            <a:t>2.5. Plan de acción</a:t>
          </a:fld>
          <a:endParaRPr lang="en-US" sz="3200" b="1">
            <a:solidFill>
              <a:schemeClr val="bg1"/>
            </a:solidFill>
          </a:endParaRPr>
        </a:p>
      </xdr:txBody>
    </xdr:sp>
    <xdr:clientData/>
  </xdr:twoCellAnchor>
  <xdr:twoCellAnchor>
    <xdr:from>
      <xdr:col>3</xdr:col>
      <xdr:colOff>1257300</xdr:colOff>
      <xdr:row>2</xdr:row>
      <xdr:rowOff>76200</xdr:rowOff>
    </xdr:from>
    <xdr:to>
      <xdr:col>4</xdr:col>
      <xdr:colOff>533400</xdr:colOff>
      <xdr:row>3</xdr:row>
      <xdr:rowOff>68041</xdr:rowOff>
    </xdr:to>
    <xdr:sp macro="" textlink="'O1'!B10">
      <xdr:nvSpPr>
        <xdr:cNvPr id="15" name="Rectángulo 14">
          <a:hlinkClick xmlns:r="http://schemas.openxmlformats.org/officeDocument/2006/relationships" r:id="rId11"/>
          <a:extLst>
            <a:ext uri="{FF2B5EF4-FFF2-40B4-BE49-F238E27FC236}">
              <a16:creationId xmlns:a16="http://schemas.microsoft.com/office/drawing/2014/main" id="{8AEBC445-3668-4C66-A374-F0C4982D1BF5}"/>
            </a:ext>
          </a:extLst>
        </xdr:cNvPr>
        <xdr:cNvSpPr/>
      </xdr:nvSpPr>
      <xdr:spPr>
        <a:xfrm>
          <a:off x="5800725" y="885825"/>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444BDD43-66CA-4FDD-B623-F44F35B48112}" type="TxLink">
            <a:rPr lang="en-US" sz="1200" b="1" i="0" u="none" strike="noStrike">
              <a:solidFill>
                <a:schemeClr val="bg1"/>
              </a:solidFill>
              <a:latin typeface="Calibri"/>
              <a:cs typeface="Calibri"/>
            </a:rPr>
            <a:pPr algn="ctr"/>
            <a:t>Meta 1</a:t>
          </a:fld>
          <a:endParaRPr lang="en-US">
            <a:solidFill>
              <a:schemeClr val="bg1"/>
            </a:solidFill>
          </a:endParaRPr>
        </a:p>
      </xdr:txBody>
    </xdr:sp>
    <xdr:clientData/>
  </xdr:twoCellAnchor>
  <xdr:twoCellAnchor>
    <xdr:from>
      <xdr:col>4</xdr:col>
      <xdr:colOff>581025</xdr:colOff>
      <xdr:row>2</xdr:row>
      <xdr:rowOff>76200</xdr:rowOff>
    </xdr:from>
    <xdr:to>
      <xdr:col>4</xdr:col>
      <xdr:colOff>2038350</xdr:colOff>
      <xdr:row>3</xdr:row>
      <xdr:rowOff>68041</xdr:rowOff>
    </xdr:to>
    <xdr:sp macro="" textlink="'O1'!C10">
      <xdr:nvSpPr>
        <xdr:cNvPr id="16" name="Rectángulo 15">
          <a:hlinkClick xmlns:r="http://schemas.openxmlformats.org/officeDocument/2006/relationships" r:id="rId14"/>
          <a:extLst>
            <a:ext uri="{FF2B5EF4-FFF2-40B4-BE49-F238E27FC236}">
              <a16:creationId xmlns:a16="http://schemas.microsoft.com/office/drawing/2014/main" id="{E9F741B5-A9AC-41A0-905E-3B6403B777D4}"/>
            </a:ext>
          </a:extLst>
        </xdr:cNvPr>
        <xdr:cNvSpPr/>
      </xdr:nvSpPr>
      <xdr:spPr>
        <a:xfrm>
          <a:off x="7305675" y="885825"/>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3CA94B9-5EDC-464C-A2C5-0F7274AD8131}" type="TxLink">
            <a:rPr lang="en-US" sz="1200" b="1" i="0" u="none" strike="noStrike">
              <a:solidFill>
                <a:schemeClr val="bg1"/>
              </a:solidFill>
              <a:latin typeface="Calibri"/>
              <a:cs typeface="Calibri"/>
            </a:rPr>
            <a:pPr algn="ctr"/>
            <a:t>Meta 2</a:t>
          </a:fld>
          <a:endParaRPr lang="en-US">
            <a:solidFill>
              <a:schemeClr val="bg1"/>
            </a:solidFill>
          </a:endParaRPr>
        </a:p>
      </xdr:txBody>
    </xdr:sp>
    <xdr:clientData/>
  </xdr:twoCellAnchor>
  <xdr:twoCellAnchor>
    <xdr:from>
      <xdr:col>4</xdr:col>
      <xdr:colOff>2085975</xdr:colOff>
      <xdr:row>2</xdr:row>
      <xdr:rowOff>76200</xdr:rowOff>
    </xdr:from>
    <xdr:to>
      <xdr:col>5</xdr:col>
      <xdr:colOff>1362075</xdr:colOff>
      <xdr:row>3</xdr:row>
      <xdr:rowOff>68041</xdr:rowOff>
    </xdr:to>
    <xdr:sp macro="" textlink="'O1'!D10">
      <xdr:nvSpPr>
        <xdr:cNvPr id="17" name="Rectángulo 16">
          <a:hlinkClick xmlns:r="http://schemas.openxmlformats.org/officeDocument/2006/relationships" r:id="rId15"/>
          <a:extLst>
            <a:ext uri="{FF2B5EF4-FFF2-40B4-BE49-F238E27FC236}">
              <a16:creationId xmlns:a16="http://schemas.microsoft.com/office/drawing/2014/main" id="{F4572C33-F8F6-4A44-9EDD-D3ECA59410D8}"/>
            </a:ext>
          </a:extLst>
        </xdr:cNvPr>
        <xdr:cNvSpPr/>
      </xdr:nvSpPr>
      <xdr:spPr>
        <a:xfrm>
          <a:off x="8810625" y="885825"/>
          <a:ext cx="1457325" cy="220441"/>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50D9D654-0AC0-4B94-8C50-A2788FBBCB8F}" type="TxLink">
            <a:rPr lang="en-US" sz="1200" b="1" i="0" u="none" strike="noStrike">
              <a:solidFill>
                <a:schemeClr val="tx1"/>
              </a:solidFill>
              <a:latin typeface="Calibri"/>
              <a:cs typeface="Calibri"/>
            </a:rPr>
            <a:pPr algn="ctr"/>
            <a:t>Meta 3</a:t>
          </a:fld>
          <a:endParaRPr lang="en-US">
            <a:solidFill>
              <a:schemeClr val="tx1"/>
            </a:solidFill>
          </a:endParaRPr>
        </a:p>
      </xdr:txBody>
    </xdr:sp>
    <xdr:clientData/>
  </xdr:twoCellAnchor>
  <xdr:twoCellAnchor>
    <xdr:from>
      <xdr:col>6</xdr:col>
      <xdr:colOff>28575</xdr:colOff>
      <xdr:row>2</xdr:row>
      <xdr:rowOff>76200</xdr:rowOff>
    </xdr:from>
    <xdr:to>
      <xdr:col>7</xdr:col>
      <xdr:colOff>104775</xdr:colOff>
      <xdr:row>3</xdr:row>
      <xdr:rowOff>68041</xdr:rowOff>
    </xdr:to>
    <xdr:sp macro="" textlink="'O1'!E10">
      <xdr:nvSpPr>
        <xdr:cNvPr id="18" name="Rectángulo 17">
          <a:hlinkClick xmlns:r="http://schemas.openxmlformats.org/officeDocument/2006/relationships" r:id="rId16"/>
          <a:extLst>
            <a:ext uri="{FF2B5EF4-FFF2-40B4-BE49-F238E27FC236}">
              <a16:creationId xmlns:a16="http://schemas.microsoft.com/office/drawing/2014/main" id="{BEB46FEE-332A-4071-9D60-D52373412D57}"/>
            </a:ext>
          </a:extLst>
        </xdr:cNvPr>
        <xdr:cNvSpPr/>
      </xdr:nvSpPr>
      <xdr:spPr>
        <a:xfrm>
          <a:off x="10315575" y="885825"/>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71D0E313-FEB5-4F0B-BA82-D0292E46C713}" type="TxLink">
            <a:rPr lang="en-US" sz="1200" b="1" i="0" u="none" strike="noStrike">
              <a:solidFill>
                <a:schemeClr val="bg1"/>
              </a:solidFill>
              <a:latin typeface="Calibri"/>
              <a:cs typeface="Calibri"/>
            </a:rPr>
            <a:pPr algn="ctr"/>
            <a:t>Meta 4</a:t>
          </a:fld>
          <a:endParaRPr lang="en-US">
            <a:solidFill>
              <a:schemeClr val="bg1"/>
            </a:solidFill>
          </a:endParaRPr>
        </a:p>
      </xdr:txBody>
    </xdr:sp>
    <xdr:clientData/>
  </xdr:twoCellAnchor>
  <xdr:twoCellAnchor>
    <xdr:from>
      <xdr:col>7</xdr:col>
      <xdr:colOff>152400</xdr:colOff>
      <xdr:row>2</xdr:row>
      <xdr:rowOff>76200</xdr:rowOff>
    </xdr:from>
    <xdr:to>
      <xdr:col>8</xdr:col>
      <xdr:colOff>228600</xdr:colOff>
      <xdr:row>3</xdr:row>
      <xdr:rowOff>68041</xdr:rowOff>
    </xdr:to>
    <xdr:sp macro="" textlink="'O1'!F10">
      <xdr:nvSpPr>
        <xdr:cNvPr id="19" name="Rectángulo 18">
          <a:hlinkClick xmlns:r="http://schemas.openxmlformats.org/officeDocument/2006/relationships" r:id="rId17"/>
          <a:extLst>
            <a:ext uri="{FF2B5EF4-FFF2-40B4-BE49-F238E27FC236}">
              <a16:creationId xmlns:a16="http://schemas.microsoft.com/office/drawing/2014/main" id="{95AED506-716C-405A-9F4A-8903F36120BF}"/>
            </a:ext>
          </a:extLst>
        </xdr:cNvPr>
        <xdr:cNvSpPr/>
      </xdr:nvSpPr>
      <xdr:spPr>
        <a:xfrm>
          <a:off x="11820525" y="885825"/>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98A4B2DD-BA81-4C05-854D-8E7BEDAE1771}" type="TxLink">
            <a:rPr lang="en-US" sz="1200" b="1" i="0" u="none" strike="noStrike">
              <a:solidFill>
                <a:schemeClr val="bg1"/>
              </a:solidFill>
              <a:latin typeface="Calibri"/>
              <a:cs typeface="Calibri"/>
            </a:rPr>
            <a:pPr algn="ctr"/>
            <a:t>Meta 5</a:t>
          </a:fld>
          <a:endParaRPr lang="en-US">
            <a:solidFill>
              <a:schemeClr val="bg1"/>
            </a:solidFill>
          </a:endParaRPr>
        </a:p>
      </xdr:txBody>
    </xdr:sp>
    <xdr:clientData/>
  </xdr:twoCellAnchor>
  <xdr:twoCellAnchor>
    <xdr:from>
      <xdr:col>8</xdr:col>
      <xdr:colOff>276225</xdr:colOff>
      <xdr:row>2</xdr:row>
      <xdr:rowOff>76200</xdr:rowOff>
    </xdr:from>
    <xdr:to>
      <xdr:col>10</xdr:col>
      <xdr:colOff>209550</xdr:colOff>
      <xdr:row>3</xdr:row>
      <xdr:rowOff>68041</xdr:rowOff>
    </xdr:to>
    <xdr:sp macro="" textlink="'O1'!G10">
      <xdr:nvSpPr>
        <xdr:cNvPr id="20" name="Rectángulo 19">
          <a:hlinkClick xmlns:r="http://schemas.openxmlformats.org/officeDocument/2006/relationships" r:id="rId18"/>
          <a:extLst>
            <a:ext uri="{FF2B5EF4-FFF2-40B4-BE49-F238E27FC236}">
              <a16:creationId xmlns:a16="http://schemas.microsoft.com/office/drawing/2014/main" id="{30B1DDE1-2D6D-4FF6-94F9-FC576491A42C}"/>
            </a:ext>
          </a:extLst>
        </xdr:cNvPr>
        <xdr:cNvSpPr/>
      </xdr:nvSpPr>
      <xdr:spPr>
        <a:xfrm>
          <a:off x="13325475" y="885825"/>
          <a:ext cx="1457325" cy="220441"/>
        </a:xfrm>
        <a:prstGeom prst="rect">
          <a:avLst/>
        </a:prstGeom>
        <a:solidFill>
          <a:srgbClr val="0721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32C6E37E-903D-484D-AF67-16E431ADA288}" type="TxLink">
            <a:rPr lang="en-US" sz="1200" b="1" i="0" u="none" strike="noStrike">
              <a:solidFill>
                <a:schemeClr val="bg1"/>
              </a:solidFill>
              <a:latin typeface="Calibri"/>
              <a:cs typeface="Calibri"/>
            </a:rPr>
            <a:pPr algn="ctr"/>
            <a:t>Meta 6</a:t>
          </a:fld>
          <a:endParaRPr lang="en-US">
            <a:solidFill>
              <a:schemeClr val="bg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dimension ref="A1:S154"/>
  <sheetViews>
    <sheetView showGridLines="0" topLeftCell="A130" zoomScaleNormal="100" workbookViewId="0">
      <selection activeCell="B155" sqref="B155"/>
    </sheetView>
  </sheetViews>
  <sheetFormatPr baseColWidth="10" defaultColWidth="9.1640625" defaultRowHeight="15"/>
  <cols>
    <col min="1" max="1" width="2.6640625" style="1" customWidth="1"/>
    <col min="2" max="6" width="29.5" style="1" customWidth="1"/>
    <col min="7" max="16384" width="9.1640625" style="1"/>
  </cols>
  <sheetData>
    <row r="1" spans="1:19" s="208" customFormat="1" ht="39" customHeight="1">
      <c r="A1" s="207"/>
      <c r="B1" s="207"/>
      <c r="C1" s="207"/>
      <c r="D1" s="207"/>
      <c r="E1" s="207"/>
      <c r="F1" s="207"/>
      <c r="G1" s="207"/>
      <c r="H1" s="207"/>
      <c r="I1" s="207"/>
      <c r="J1" s="207"/>
      <c r="K1" s="207"/>
      <c r="L1" s="207"/>
      <c r="M1" s="207"/>
      <c r="N1" s="207"/>
      <c r="O1" s="207"/>
      <c r="P1" s="207"/>
      <c r="Q1" s="207"/>
      <c r="R1" s="207"/>
      <c r="S1" s="207"/>
    </row>
    <row r="2" spans="1:19" s="205" customFormat="1" ht="25" customHeight="1"/>
    <row r="3" spans="1:19" s="206" customFormat="1" ht="18" customHeight="1"/>
    <row r="4" spans="1:19" s="206" customFormat="1" ht="18" customHeight="1">
      <c r="D4"/>
      <c r="E4"/>
    </row>
    <row r="5" spans="1:19" s="206" customFormat="1" ht="20" customHeight="1">
      <c r="C5"/>
      <c r="D5"/>
    </row>
    <row r="6" spans="1:19" ht="20" customHeight="1"/>
    <row r="7" spans="1:19" ht="20" customHeight="1">
      <c r="B7" s="2"/>
    </row>
    <row r="8" spans="1:19" ht="20" customHeight="1"/>
    <row r="9" spans="1:19" ht="20" customHeight="1"/>
    <row r="10" spans="1:19" ht="20" customHeight="1" thickBot="1">
      <c r="B10" s="5" t="s">
        <v>0</v>
      </c>
      <c r="C10" s="5"/>
      <c r="D10" s="5"/>
      <c r="E10" s="5" t="s">
        <v>182</v>
      </c>
      <c r="F10" s="6" t="str">
        <f>Settings!C9</f>
        <v>Español</v>
      </c>
    </row>
    <row r="11" spans="1:19">
      <c r="B11" s="166" t="s">
        <v>183</v>
      </c>
      <c r="C11" s="166"/>
      <c r="D11" s="166"/>
      <c r="E11" s="167" t="s">
        <v>185</v>
      </c>
      <c r="F11" s="168" t="str">
        <f>IFERROR(IF($F$10=$B$10,B11,IF($F$10=$C$10,C11,IF($F$10=$D$10,D11,IF(E11="",B11,IF($F$10=$E$10,E11))))),"")</f>
        <v>1. AJUSTES</v>
      </c>
    </row>
    <row r="12" spans="1:19">
      <c r="B12" s="169" t="s">
        <v>48</v>
      </c>
      <c r="C12" s="169"/>
      <c r="D12" s="169"/>
      <c r="E12" s="170" t="s">
        <v>186</v>
      </c>
      <c r="F12" s="171" t="str">
        <f t="shared" ref="F12:F145" si="0">IFERROR(IF($F$10=$B$10,B12,IF($F$10=$C$10,C12,IF($F$10=$D$10,D12,IF(E12="",B12,IF($F$10=$E$10,E12))))),"")</f>
        <v>1.1. Áreas estratégicas</v>
      </c>
    </row>
    <row r="13" spans="1:19">
      <c r="B13" s="169" t="s">
        <v>49</v>
      </c>
      <c r="C13" s="169"/>
      <c r="D13" s="169"/>
      <c r="E13" s="170" t="s">
        <v>187</v>
      </c>
      <c r="F13" s="171" t="str">
        <f>IFERROR(IF($F$10=$B$10,B13,IF($F$10=$C$10,C13,IF($F$10=$D$10,D13,IF(E13="",B13,IF($F$10=$E$10,E13))))),"")</f>
        <v>Áreas estratégicas</v>
      </c>
    </row>
    <row r="14" spans="1:19" ht="32">
      <c r="B14" s="172" t="s">
        <v>77</v>
      </c>
      <c r="C14" s="173"/>
      <c r="D14" s="173"/>
      <c r="E14" s="174" t="s">
        <v>188</v>
      </c>
      <c r="F14" s="171" t="str">
        <f>IFERROR(IF($F$10=$B$10,B14,IF($F$10=$C$10,C14,IF($F$10=$D$10,D14,IF(E14="",B14,IF($F$10=$E$10,E14))))),"")</f>
        <v>Elija sus reglas de destino para seleccionar iconos de color</v>
      </c>
    </row>
    <row r="15" spans="1:19" ht="16">
      <c r="B15" s="173" t="s">
        <v>78</v>
      </c>
      <c r="C15" s="173"/>
      <c r="D15" s="173"/>
      <c r="E15" s="170" t="s">
        <v>189</v>
      </c>
      <c r="F15" s="171" t="str">
        <f t="shared" si="0"/>
        <v>Si el valor es</v>
      </c>
    </row>
    <row r="16" spans="1:19" ht="16">
      <c r="B16" s="173" t="s">
        <v>79</v>
      </c>
      <c r="C16" s="173"/>
      <c r="D16" s="173"/>
      <c r="E16" s="170" t="s">
        <v>190</v>
      </c>
      <c r="F16" s="171" t="str">
        <f t="shared" si="0"/>
        <v>Si&gt;</v>
      </c>
    </row>
    <row r="17" spans="2:6" ht="16">
      <c r="B17" s="173" t="s">
        <v>80</v>
      </c>
      <c r="C17" s="173"/>
      <c r="D17" s="173"/>
      <c r="E17" s="170" t="s">
        <v>81</v>
      </c>
      <c r="F17" s="171" t="str">
        <f t="shared" si="0"/>
        <v>Si &lt;</v>
      </c>
    </row>
    <row r="18" spans="2:6" ht="16">
      <c r="B18" s="175" t="s">
        <v>82</v>
      </c>
      <c r="C18" s="175"/>
      <c r="D18" s="175"/>
      <c r="E18" s="176" t="s">
        <v>191</v>
      </c>
      <c r="F18" s="177" t="str">
        <f t="shared" si="0"/>
        <v>y</v>
      </c>
    </row>
    <row r="19" spans="2:6" ht="16">
      <c r="B19" s="178" t="s">
        <v>131</v>
      </c>
      <c r="C19" s="178"/>
      <c r="D19" s="178"/>
      <c r="E19" s="179" t="s">
        <v>192</v>
      </c>
      <c r="F19" s="180" t="str">
        <f t="shared" si="0"/>
        <v>KPI's | Indicadores</v>
      </c>
    </row>
    <row r="20" spans="2:6" ht="16">
      <c r="B20" s="173" t="s">
        <v>132</v>
      </c>
      <c r="C20" s="173"/>
      <c r="D20" s="173"/>
      <c r="E20" s="170" t="s">
        <v>193</v>
      </c>
      <c r="F20" s="171" t="str">
        <f t="shared" si="0"/>
        <v>Progreso del plan de acción</v>
      </c>
    </row>
    <row r="21" spans="2:6">
      <c r="B21" s="169" t="s">
        <v>166</v>
      </c>
      <c r="C21" s="169"/>
      <c r="D21" s="169"/>
      <c r="E21" s="170" t="s">
        <v>194</v>
      </c>
      <c r="F21" s="171" t="str">
        <f t="shared" si="0"/>
        <v>1.2. Gerentes | Administradores</v>
      </c>
    </row>
    <row r="22" spans="2:6">
      <c r="B22" s="169" t="s">
        <v>167</v>
      </c>
      <c r="C22" s="169"/>
      <c r="D22" s="169"/>
      <c r="E22" s="170" t="s">
        <v>177</v>
      </c>
      <c r="F22" s="171" t="str">
        <f t="shared" si="0"/>
        <v>Gerentes</v>
      </c>
    </row>
    <row r="23" spans="2:6">
      <c r="B23" s="169" t="s">
        <v>47</v>
      </c>
      <c r="C23" s="169"/>
      <c r="D23" s="169"/>
      <c r="E23" s="170" t="s">
        <v>195</v>
      </c>
      <c r="F23" s="171" t="str">
        <f t="shared" si="0"/>
        <v>-</v>
      </c>
    </row>
    <row r="24" spans="2:6">
      <c r="B24" s="169" t="s">
        <v>44</v>
      </c>
      <c r="C24" s="169"/>
      <c r="D24" s="169"/>
      <c r="E24" s="170" t="s">
        <v>195</v>
      </c>
      <c r="F24" s="171" t="str">
        <f t="shared" si="0"/>
        <v>-</v>
      </c>
    </row>
    <row r="25" spans="2:6">
      <c r="B25" s="169" t="s">
        <v>42</v>
      </c>
      <c r="C25" s="169"/>
      <c r="D25" s="169"/>
      <c r="E25" s="170" t="s">
        <v>196</v>
      </c>
      <c r="F25" s="171" t="str">
        <f t="shared" si="0"/>
        <v>Mes de inicio</v>
      </c>
    </row>
    <row r="26" spans="2:6">
      <c r="B26" s="169" t="s">
        <v>43</v>
      </c>
      <c r="C26" s="169"/>
      <c r="D26" s="169"/>
      <c r="E26" s="170" t="s">
        <v>197</v>
      </c>
      <c r="F26" s="171" t="str">
        <f t="shared" si="0"/>
        <v>Nombre de empresa</v>
      </c>
    </row>
    <row r="27" spans="2:6">
      <c r="B27" s="169" t="s">
        <v>45</v>
      </c>
      <c r="C27" s="169"/>
      <c r="D27" s="169"/>
      <c r="E27" s="170" t="s">
        <v>198</v>
      </c>
      <c r="F27" s="171" t="str">
        <f t="shared" si="0"/>
        <v>Eslogan de la empresa</v>
      </c>
    </row>
    <row r="28" spans="2:6">
      <c r="B28" s="181" t="s">
        <v>41</v>
      </c>
      <c r="C28" s="181"/>
      <c r="D28" s="181"/>
      <c r="E28" s="176" t="s">
        <v>199</v>
      </c>
      <c r="F28" s="177" t="str">
        <f t="shared" si="0"/>
        <v>Año</v>
      </c>
    </row>
    <row r="29" spans="2:6">
      <c r="B29" s="182" t="s">
        <v>184</v>
      </c>
      <c r="C29" s="182"/>
      <c r="D29" s="182"/>
      <c r="E29" s="179" t="s">
        <v>200</v>
      </c>
      <c r="F29" s="180" t="str">
        <f t="shared" si="0"/>
        <v>2. PLAN ESTRATÉGICO</v>
      </c>
    </row>
    <row r="30" spans="2:6">
      <c r="B30" s="169" t="s">
        <v>46</v>
      </c>
      <c r="C30" s="169"/>
      <c r="D30" s="169"/>
      <c r="E30" s="170" t="s">
        <v>201</v>
      </c>
      <c r="F30" s="171" t="str">
        <f t="shared" si="0"/>
        <v>2.1. Declaraciones de estrategia</v>
      </c>
    </row>
    <row r="31" spans="2:6">
      <c r="B31" s="169" t="s">
        <v>38</v>
      </c>
      <c r="C31" s="169"/>
      <c r="D31" s="169"/>
      <c r="E31" s="170" t="s">
        <v>202</v>
      </c>
      <c r="F31" s="171" t="str">
        <f t="shared" si="0"/>
        <v>Misión</v>
      </c>
    </row>
    <row r="32" spans="2:6">
      <c r="B32" s="169" t="s">
        <v>39</v>
      </c>
      <c r="C32" s="169"/>
      <c r="D32" s="169"/>
      <c r="E32" s="170" t="s">
        <v>203</v>
      </c>
      <c r="F32" s="171" t="str">
        <f t="shared" si="0"/>
        <v>Visión</v>
      </c>
    </row>
    <row r="33" spans="2:6">
      <c r="B33" s="169" t="s">
        <v>40</v>
      </c>
      <c r="C33" s="169"/>
      <c r="D33" s="169"/>
      <c r="E33" s="170" t="s">
        <v>169</v>
      </c>
      <c r="F33" s="171" t="str">
        <f t="shared" si="0"/>
        <v>Valores</v>
      </c>
    </row>
    <row r="34" spans="2:6">
      <c r="B34" s="171" t="s">
        <v>60</v>
      </c>
      <c r="C34" s="171"/>
      <c r="D34" s="171"/>
      <c r="E34" s="174" t="s">
        <v>204</v>
      </c>
      <c r="F34" s="171" t="str">
        <f t="shared" si="0"/>
        <v>Panorama general de lo que desea lograr.</v>
      </c>
    </row>
    <row r="35" spans="2:6" ht="30">
      <c r="B35" s="171" t="s">
        <v>61</v>
      </c>
      <c r="C35" s="171"/>
      <c r="D35" s="171"/>
      <c r="E35" s="174" t="s">
        <v>205</v>
      </c>
      <c r="F35" s="171" t="str">
        <f t="shared" si="0"/>
        <v>Declaración general de cómo logrará la visión.</v>
      </c>
    </row>
    <row r="36" spans="2:6" ht="60">
      <c r="B36" s="177" t="s">
        <v>206</v>
      </c>
      <c r="C36" s="177"/>
      <c r="D36" s="177"/>
      <c r="E36" s="204" t="s">
        <v>207</v>
      </c>
      <c r="F36" s="177" t="str">
        <f t="shared" si="0"/>
        <v>Definir la organización en términos de los principios y valores que seguirán los líderes al llevar a cabo las actividades de la organización.</v>
      </c>
    </row>
    <row r="37" spans="2:6">
      <c r="B37" s="182" t="s">
        <v>76</v>
      </c>
      <c r="C37" s="182"/>
      <c r="D37" s="182"/>
      <c r="E37" s="179" t="s">
        <v>208</v>
      </c>
      <c r="F37" s="180" t="str">
        <f t="shared" si="0"/>
        <v>2.2. Metas estratégicas</v>
      </c>
    </row>
    <row r="38" spans="2:6">
      <c r="B38" s="169" t="s">
        <v>155</v>
      </c>
      <c r="C38" s="169"/>
      <c r="D38" s="169"/>
      <c r="E38" s="170" t="s">
        <v>209</v>
      </c>
      <c r="F38" s="171" t="str">
        <f t="shared" si="0"/>
        <v>Metas estratégicas</v>
      </c>
    </row>
    <row r="39" spans="2:6">
      <c r="B39" s="169" t="s">
        <v>51</v>
      </c>
      <c r="C39" s="169"/>
      <c r="D39" s="169"/>
      <c r="E39" s="170" t="s">
        <v>171</v>
      </c>
      <c r="F39" s="171" t="str">
        <f t="shared" si="0"/>
        <v>Metas</v>
      </c>
    </row>
    <row r="40" spans="2:6">
      <c r="B40" s="169" t="s">
        <v>52</v>
      </c>
      <c r="C40" s="169"/>
      <c r="D40" s="169"/>
      <c r="E40" s="170" t="s">
        <v>210</v>
      </c>
      <c r="F40" s="171" t="str">
        <f t="shared" si="0"/>
        <v>Comentarios</v>
      </c>
    </row>
    <row r="41" spans="2:6" ht="30">
      <c r="B41" s="171" t="s">
        <v>124</v>
      </c>
      <c r="C41" s="171"/>
      <c r="D41" s="171"/>
      <c r="E41" s="174" t="s">
        <v>211</v>
      </c>
      <c r="F41" s="171" t="str">
        <f t="shared" si="0"/>
        <v>Solo es posible reagistrar hasta 6 objetivos.</v>
      </c>
    </row>
    <row r="42" spans="2:6" ht="60">
      <c r="B42" s="177" t="s">
        <v>212</v>
      </c>
      <c r="C42" s="177"/>
      <c r="D42" s="177"/>
      <c r="E42" s="204" t="s">
        <v>213</v>
      </c>
      <c r="F42" s="177" t="str">
        <f t="shared" si="0"/>
        <v>Una meta es una declaración general de lo que desea lograr. Más específicamente, una meta es un hito (s) en el proceso de implementación de una estrategia.</v>
      </c>
    </row>
    <row r="43" spans="2:6">
      <c r="B43" s="182" t="s">
        <v>53</v>
      </c>
      <c r="C43" s="182"/>
      <c r="D43" s="182"/>
      <c r="E43" s="179" t="s">
        <v>214</v>
      </c>
      <c r="F43" s="180" t="str">
        <f t="shared" si="0"/>
        <v>2.3. Objetivos</v>
      </c>
    </row>
    <row r="44" spans="2:6" ht="45">
      <c r="B44" s="171" t="s">
        <v>54</v>
      </c>
      <c r="C44" s="171"/>
      <c r="D44" s="171"/>
      <c r="E44" s="174" t="s">
        <v>215</v>
      </c>
      <c r="F44" s="171" t="str">
        <f t="shared" si="0"/>
        <v>Los objetivos proporcionan hitos específicos con un cronograma específico para lograr una meta.</v>
      </c>
    </row>
    <row r="45" spans="2:6">
      <c r="B45" s="171" t="s">
        <v>55</v>
      </c>
      <c r="C45" s="169"/>
      <c r="D45" s="169"/>
      <c r="E45" s="174" t="s">
        <v>170</v>
      </c>
      <c r="F45" s="171" t="str">
        <f t="shared" si="0"/>
        <v>Objetivos</v>
      </c>
    </row>
    <row r="46" spans="2:6">
      <c r="B46" s="171" t="s">
        <v>56</v>
      </c>
      <c r="C46" s="169"/>
      <c r="D46" s="169"/>
      <c r="E46" s="174" t="s">
        <v>216</v>
      </c>
      <c r="F46" s="171" t="str">
        <f t="shared" si="0"/>
        <v>Objetivo asociado</v>
      </c>
    </row>
    <row r="47" spans="2:6">
      <c r="B47" s="171" t="s">
        <v>59</v>
      </c>
      <c r="C47" s="169"/>
      <c r="D47" s="169"/>
      <c r="E47" s="174" t="s">
        <v>172</v>
      </c>
      <c r="F47" s="171" t="str">
        <f t="shared" si="0"/>
        <v>Formato</v>
      </c>
    </row>
    <row r="48" spans="2:6">
      <c r="B48" s="171" t="s">
        <v>58</v>
      </c>
      <c r="C48" s="169"/>
      <c r="D48" s="169"/>
      <c r="E48" s="174" t="s">
        <v>217</v>
      </c>
      <c r="F48" s="171" t="str">
        <f t="shared" si="0"/>
        <v>Mejor dirección</v>
      </c>
    </row>
    <row r="49" spans="2:6">
      <c r="B49" s="171" t="s">
        <v>86</v>
      </c>
      <c r="C49" s="169"/>
      <c r="D49" s="169"/>
      <c r="E49" s="174" t="s">
        <v>218</v>
      </c>
      <c r="F49" s="171" t="str">
        <f t="shared" si="0"/>
        <v>Función</v>
      </c>
    </row>
    <row r="50" spans="2:6">
      <c r="B50" s="171" t="s">
        <v>84</v>
      </c>
      <c r="C50" s="169"/>
      <c r="D50" s="169"/>
      <c r="E50" s="174" t="s">
        <v>219</v>
      </c>
      <c r="F50" s="171" t="str">
        <f t="shared" si="0"/>
        <v>Suma</v>
      </c>
    </row>
    <row r="51" spans="2:6">
      <c r="B51" s="171" t="s">
        <v>85</v>
      </c>
      <c r="C51" s="169"/>
      <c r="D51" s="169"/>
      <c r="E51" s="174" t="s">
        <v>220</v>
      </c>
      <c r="F51" s="171" t="str">
        <f t="shared" si="0"/>
        <v>Promedio</v>
      </c>
    </row>
    <row r="52" spans="2:6">
      <c r="B52" s="171" t="s">
        <v>119</v>
      </c>
      <c r="C52" s="169"/>
      <c r="D52" s="169"/>
      <c r="E52" s="174" t="s">
        <v>221</v>
      </c>
      <c r="F52" s="171" t="str">
        <f t="shared" si="0"/>
        <v>Tendencia</v>
      </c>
    </row>
    <row r="53" spans="2:6">
      <c r="B53" s="171" t="s">
        <v>89</v>
      </c>
      <c r="C53" s="169"/>
      <c r="D53" s="169"/>
      <c r="E53" s="174" t="s">
        <v>173</v>
      </c>
      <c r="F53" s="171" t="str">
        <f t="shared" si="0"/>
        <v>Último valor</v>
      </c>
    </row>
    <row r="54" spans="2:6">
      <c r="B54" s="180" t="s">
        <v>179</v>
      </c>
      <c r="C54" s="182"/>
      <c r="D54" s="182"/>
      <c r="E54" s="179" t="s">
        <v>222</v>
      </c>
      <c r="F54" s="180" t="str">
        <f t="shared" si="0"/>
        <v>2.4. Seguimiento de KPI´s</v>
      </c>
    </row>
    <row r="55" spans="2:6">
      <c r="B55" s="171" t="s">
        <v>88</v>
      </c>
      <c r="C55" s="169"/>
      <c r="D55" s="169"/>
      <c r="E55" s="170" t="s">
        <v>223</v>
      </c>
      <c r="F55" s="171" t="str">
        <f t="shared" si="0"/>
        <v>Objetivo</v>
      </c>
    </row>
    <row r="56" spans="2:6">
      <c r="B56" s="171" t="s">
        <v>74</v>
      </c>
      <c r="C56" s="169"/>
      <c r="D56" s="169"/>
      <c r="E56" s="170" t="s">
        <v>174</v>
      </c>
      <c r="F56" s="171" t="str">
        <f t="shared" si="0"/>
        <v>FORMATO</v>
      </c>
    </row>
    <row r="57" spans="2:6">
      <c r="B57" s="169" t="s">
        <v>36</v>
      </c>
      <c r="C57" s="169"/>
      <c r="D57" s="169"/>
      <c r="E57" s="170" t="s">
        <v>36</v>
      </c>
      <c r="F57" s="171" t="str">
        <f t="shared" si="0"/>
        <v>Actual</v>
      </c>
    </row>
    <row r="58" spans="2:6">
      <c r="B58" s="169" t="s">
        <v>57</v>
      </c>
      <c r="C58" s="169"/>
      <c r="D58" s="169"/>
      <c r="E58" s="170" t="s">
        <v>175</v>
      </c>
      <c r="F58" s="171" t="str">
        <f t="shared" si="0"/>
        <v>Meta</v>
      </c>
    </row>
    <row r="59" spans="2:6">
      <c r="B59" s="169" t="s">
        <v>90</v>
      </c>
      <c r="C59" s="169"/>
      <c r="D59" s="169"/>
      <c r="E59" s="170" t="s">
        <v>224</v>
      </c>
      <c r="F59" s="171" t="str">
        <f t="shared" si="0"/>
        <v>Expresiones</v>
      </c>
    </row>
    <row r="60" spans="2:6">
      <c r="B60" s="169" t="s">
        <v>73</v>
      </c>
      <c r="C60" s="169"/>
      <c r="D60" s="169"/>
      <c r="E60" s="170" t="s">
        <v>176</v>
      </c>
      <c r="F60" s="171" t="str">
        <f t="shared" si="0"/>
        <v>Acumulado</v>
      </c>
    </row>
    <row r="61" spans="2:6">
      <c r="B61" s="181" t="s">
        <v>75</v>
      </c>
      <c r="C61" s="181"/>
      <c r="D61" s="181"/>
      <c r="E61" s="176" t="s">
        <v>75</v>
      </c>
      <c r="F61" s="177" t="str">
        <f t="shared" si="0"/>
        <v>TOTAL</v>
      </c>
    </row>
    <row r="62" spans="2:6">
      <c r="B62" s="183" t="s">
        <v>180</v>
      </c>
      <c r="C62" s="169"/>
      <c r="D62" s="169"/>
      <c r="E62" s="170" t="s">
        <v>225</v>
      </c>
      <c r="F62" s="171" t="str">
        <f t="shared" si="0"/>
        <v>2.5. Plan de acción</v>
      </c>
    </row>
    <row r="63" spans="2:6">
      <c r="B63" s="184" t="s">
        <v>91</v>
      </c>
      <c r="C63" s="169"/>
      <c r="D63" s="169"/>
      <c r="E63" s="170" t="s">
        <v>226</v>
      </c>
      <c r="F63" s="171" t="str">
        <f t="shared" si="0"/>
        <v>Paso de acción</v>
      </c>
    </row>
    <row r="64" spans="2:6">
      <c r="B64" s="184" t="s">
        <v>95</v>
      </c>
      <c r="C64" s="169"/>
      <c r="D64" s="169"/>
      <c r="E64" s="170" t="s">
        <v>216</v>
      </c>
      <c r="F64" s="171" t="str">
        <f t="shared" si="0"/>
        <v>Objetivo asociado</v>
      </c>
    </row>
    <row r="65" spans="2:6">
      <c r="B65" s="184" t="s">
        <v>167</v>
      </c>
      <c r="C65" s="169"/>
      <c r="D65" s="169"/>
      <c r="E65" s="170" t="s">
        <v>177</v>
      </c>
      <c r="F65" s="171" t="str">
        <f t="shared" si="0"/>
        <v>Gerentes</v>
      </c>
    </row>
    <row r="66" spans="2:6">
      <c r="B66" s="184" t="s">
        <v>168</v>
      </c>
      <c r="C66" s="169"/>
      <c r="D66" s="169"/>
      <c r="E66" s="170" t="s">
        <v>227</v>
      </c>
      <c r="F66" s="171" t="str">
        <f t="shared" si="0"/>
        <v>Límite de 8 gerentes.</v>
      </c>
    </row>
    <row r="67" spans="2:6">
      <c r="B67" s="184" t="s">
        <v>93</v>
      </c>
      <c r="C67" s="169"/>
      <c r="D67" s="169"/>
      <c r="E67" s="170" t="s">
        <v>228</v>
      </c>
      <c r="F67" s="171" t="str">
        <f t="shared" si="0"/>
        <v>Fecha de inicio</v>
      </c>
    </row>
    <row r="68" spans="2:6">
      <c r="B68" s="184" t="s">
        <v>94</v>
      </c>
      <c r="C68" s="169"/>
      <c r="D68" s="169"/>
      <c r="E68" s="170" t="s">
        <v>229</v>
      </c>
      <c r="F68" s="171" t="str">
        <f t="shared" si="0"/>
        <v>Fecha de vencimiento</v>
      </c>
    </row>
    <row r="69" spans="2:6">
      <c r="B69" s="184" t="s">
        <v>96</v>
      </c>
      <c r="C69" s="169"/>
      <c r="D69" s="169"/>
      <c r="E69" s="170" t="s">
        <v>230</v>
      </c>
      <c r="F69" s="171" t="str">
        <f t="shared" si="0"/>
        <v>% Progreso</v>
      </c>
    </row>
    <row r="70" spans="2:6">
      <c r="B70" s="184" t="s">
        <v>92</v>
      </c>
      <c r="C70" s="169"/>
      <c r="D70" s="169"/>
      <c r="E70" s="170" t="s">
        <v>92</v>
      </c>
      <c r="F70" s="171" t="str">
        <f t="shared" si="0"/>
        <v>Status</v>
      </c>
    </row>
    <row r="71" spans="2:6">
      <c r="B71" s="184" t="s">
        <v>97</v>
      </c>
      <c r="C71" s="169"/>
      <c r="D71" s="169"/>
      <c r="E71" s="170" t="s">
        <v>231</v>
      </c>
      <c r="F71" s="171" t="str">
        <f t="shared" si="0"/>
        <v>Concluido</v>
      </c>
    </row>
    <row r="72" spans="2:6">
      <c r="B72" s="184" t="s">
        <v>99</v>
      </c>
      <c r="C72" s="169"/>
      <c r="D72" s="169"/>
      <c r="E72" s="170" t="s">
        <v>232</v>
      </c>
      <c r="F72" s="171" t="str">
        <f t="shared" si="0"/>
        <v>En progreso</v>
      </c>
    </row>
    <row r="73" spans="2:6">
      <c r="B73" s="184" t="s">
        <v>98</v>
      </c>
      <c r="C73" s="169"/>
      <c r="D73" s="169"/>
      <c r="E73" s="170" t="s">
        <v>233</v>
      </c>
      <c r="F73" s="171" t="str">
        <f t="shared" si="0"/>
        <v>Atrasado</v>
      </c>
    </row>
    <row r="74" spans="2:6">
      <c r="B74" s="185" t="s">
        <v>100</v>
      </c>
      <c r="C74" s="186"/>
      <c r="D74" s="186"/>
      <c r="E74" s="187" t="s">
        <v>234</v>
      </c>
      <c r="F74" s="171" t="str">
        <f t="shared" si="0"/>
        <v>No iniciado</v>
      </c>
    </row>
    <row r="75" spans="2:6">
      <c r="B75" s="185" t="s">
        <v>101</v>
      </c>
      <c r="C75" s="186"/>
      <c r="D75" s="186"/>
      <c r="E75" s="187" t="s">
        <v>235</v>
      </c>
      <c r="F75" s="188" t="str">
        <f t="shared" si="0"/>
        <v>Hora de completar una tarea</v>
      </c>
    </row>
    <row r="76" spans="2:6">
      <c r="B76" s="189" t="s">
        <v>120</v>
      </c>
      <c r="C76" s="190"/>
      <c r="D76" s="190"/>
      <c r="E76" s="191" t="s">
        <v>236</v>
      </c>
      <c r="F76" s="192" t="str">
        <f t="shared" si="0"/>
        <v>Seleccione</v>
      </c>
    </row>
    <row r="77" spans="2:6">
      <c r="B77" s="193" t="s">
        <v>121</v>
      </c>
      <c r="C77" s="193"/>
      <c r="D77" s="193"/>
      <c r="E77" s="194" t="s">
        <v>237</v>
      </c>
      <c r="F77" s="195" t="str">
        <f t="shared" si="0"/>
        <v>Promedio ↑</v>
      </c>
    </row>
    <row r="78" spans="2:6">
      <c r="B78" s="196" t="s">
        <v>122</v>
      </c>
      <c r="C78" s="196"/>
      <c r="D78" s="196"/>
      <c r="E78" s="197" t="s">
        <v>238</v>
      </c>
      <c r="F78" s="198" t="str">
        <f t="shared" si="0"/>
        <v>Promedio ↓</v>
      </c>
    </row>
    <row r="79" spans="2:6">
      <c r="B79" s="182" t="s">
        <v>37</v>
      </c>
      <c r="C79" s="182"/>
      <c r="D79" s="182"/>
      <c r="E79" s="179" t="s">
        <v>239</v>
      </c>
      <c r="F79" s="180" t="str">
        <f t="shared" si="0"/>
        <v>Gastos totales</v>
      </c>
    </row>
    <row r="80" spans="2:6">
      <c r="B80" s="169" t="s">
        <v>2</v>
      </c>
      <c r="C80" s="169"/>
      <c r="D80" s="169"/>
      <c r="E80" s="170" t="s">
        <v>240</v>
      </c>
      <c r="F80" s="171" t="str">
        <f t="shared" si="0"/>
        <v>Monto gastado</v>
      </c>
    </row>
    <row r="81" spans="2:6">
      <c r="B81" s="169" t="s">
        <v>3</v>
      </c>
      <c r="C81" s="169"/>
      <c r="D81" s="169"/>
      <c r="E81" s="170" t="s">
        <v>241</v>
      </c>
      <c r="F81" s="171" t="str">
        <f t="shared" si="0"/>
        <v>Presupuesto restante</v>
      </c>
    </row>
    <row r="82" spans="2:6">
      <c r="B82" s="181" t="s">
        <v>4</v>
      </c>
      <c r="C82" s="181"/>
      <c r="D82" s="181"/>
      <c r="E82" s="176" t="s">
        <v>242</v>
      </c>
      <c r="F82" s="177" t="str">
        <f t="shared" si="0"/>
        <v>% de presupuesto gastado</v>
      </c>
    </row>
    <row r="83" spans="2:6">
      <c r="B83" s="182" t="s">
        <v>297</v>
      </c>
      <c r="C83" s="182"/>
      <c r="D83" s="182"/>
      <c r="E83" s="179" t="s">
        <v>298</v>
      </c>
      <c r="F83" s="180" t="str">
        <f t="shared" si="0"/>
        <v>3. REPORTES</v>
      </c>
    </row>
    <row r="84" spans="2:6">
      <c r="B84" s="169" t="s">
        <v>144</v>
      </c>
      <c r="C84" s="169"/>
      <c r="D84" s="169"/>
      <c r="E84" s="170" t="s">
        <v>243</v>
      </c>
      <c r="F84" s="171" t="str">
        <f t="shared" si="0"/>
        <v>3.1. Informe Plan Estratégico</v>
      </c>
    </row>
    <row r="85" spans="2:6">
      <c r="B85" s="169" t="s">
        <v>145</v>
      </c>
      <c r="C85" s="169"/>
      <c r="D85" s="169"/>
      <c r="E85" s="170" t="s">
        <v>244</v>
      </c>
      <c r="F85" s="171" t="str">
        <f t="shared" si="0"/>
        <v>3.2. Informe Plan de Acción</v>
      </c>
    </row>
    <row r="86" spans="2:6">
      <c r="B86" s="169" t="s">
        <v>299</v>
      </c>
      <c r="C86" s="169"/>
      <c r="D86" s="169"/>
      <c r="E86" s="170" t="s">
        <v>299</v>
      </c>
      <c r="F86" s="171" t="str">
        <f t="shared" ref="F86" si="1">IFERROR(IF($F$10=$B$10,B86,IF($F$10=$C$10,C86,IF($F$10=$D$10,D86,IF(E86="",B86,IF($F$10=$E$10,E86))))),"")</f>
        <v>4. DASHBOARDS</v>
      </c>
    </row>
    <row r="87" spans="2:6">
      <c r="B87" s="169" t="s">
        <v>300</v>
      </c>
      <c r="C87" s="169"/>
      <c r="D87" s="169"/>
      <c r="E87" s="170" t="s">
        <v>301</v>
      </c>
      <c r="F87" s="171" t="str">
        <f t="shared" si="0"/>
        <v>4.1. Dashboard Plan Estratégico</v>
      </c>
    </row>
    <row r="88" spans="2:6">
      <c r="B88" s="169" t="s">
        <v>302</v>
      </c>
      <c r="C88" s="169"/>
      <c r="D88" s="169"/>
      <c r="E88" s="170" t="s">
        <v>304</v>
      </c>
      <c r="F88" s="171" t="str">
        <f t="shared" si="0"/>
        <v>4.2. Dashboard Plan de Acción</v>
      </c>
    </row>
    <row r="89" spans="2:6">
      <c r="B89" s="169" t="s">
        <v>303</v>
      </c>
      <c r="C89" s="169"/>
      <c r="D89" s="169"/>
      <c r="E89" s="170" t="s">
        <v>305</v>
      </c>
      <c r="F89" s="171" t="str">
        <f t="shared" si="0"/>
        <v>4.3. Dashboard Acciones</v>
      </c>
    </row>
    <row r="90" spans="2:6">
      <c r="B90" s="181" t="s">
        <v>312</v>
      </c>
      <c r="C90" s="181"/>
      <c r="D90" s="181"/>
      <c r="E90" s="176" t="s">
        <v>313</v>
      </c>
      <c r="F90" s="177" t="str">
        <f t="shared" si="0"/>
        <v>4.3. Presentación P. E.</v>
      </c>
    </row>
    <row r="91" spans="2:6">
      <c r="B91" s="169" t="s">
        <v>117</v>
      </c>
      <c r="C91" s="169"/>
      <c r="D91" s="169"/>
      <c r="E91" s="170" t="s">
        <v>245</v>
      </c>
      <c r="F91" s="171" t="str">
        <f t="shared" si="0"/>
        <v>Días hasta la fecha límite</v>
      </c>
    </row>
    <row r="92" spans="2:6">
      <c r="B92" s="169" t="s">
        <v>134</v>
      </c>
      <c r="C92" s="169"/>
      <c r="D92" s="169"/>
      <c r="E92" s="170" t="s">
        <v>251</v>
      </c>
      <c r="F92" s="171" t="str">
        <f t="shared" si="0"/>
        <v>Total Metas</v>
      </c>
    </row>
    <row r="93" spans="2:6">
      <c r="B93" s="169" t="s">
        <v>111</v>
      </c>
      <c r="C93" s="169"/>
      <c r="D93" s="169"/>
      <c r="E93" s="170" t="s">
        <v>248</v>
      </c>
      <c r="F93" s="171" t="str">
        <f t="shared" si="0"/>
        <v>Metas alcanzados</v>
      </c>
    </row>
    <row r="94" spans="2:6">
      <c r="B94" s="169" t="s">
        <v>135</v>
      </c>
      <c r="C94" s="169"/>
      <c r="D94" s="169"/>
      <c r="E94" s="170" t="s">
        <v>252</v>
      </c>
      <c r="F94" s="171" t="str">
        <f t="shared" si="0"/>
        <v>% de metas alcanzadas</v>
      </c>
    </row>
    <row r="95" spans="2:6">
      <c r="B95" s="169" t="s">
        <v>136</v>
      </c>
      <c r="C95" s="169"/>
      <c r="D95" s="169"/>
      <c r="E95" s="170" t="s">
        <v>253</v>
      </c>
      <c r="F95" s="171" t="str">
        <f t="shared" si="0"/>
        <v>Metas en peligro</v>
      </c>
    </row>
    <row r="96" spans="2:6">
      <c r="B96" s="169" t="s">
        <v>137</v>
      </c>
      <c r="C96" s="169"/>
      <c r="D96" s="169"/>
      <c r="E96" s="170" t="s">
        <v>254</v>
      </c>
      <c r="F96" s="171" t="str">
        <f t="shared" si="0"/>
        <v>% Metas en peligro</v>
      </c>
    </row>
    <row r="97" spans="2:6">
      <c r="B97" s="169" t="s">
        <v>118</v>
      </c>
      <c r="C97" s="169"/>
      <c r="D97" s="169"/>
      <c r="E97" s="170" t="s">
        <v>251</v>
      </c>
      <c r="F97" s="171" t="str">
        <f t="shared" si="0"/>
        <v>Total Metas</v>
      </c>
    </row>
    <row r="98" spans="2:6">
      <c r="B98" s="169" t="s">
        <v>138</v>
      </c>
      <c r="C98" s="169"/>
      <c r="D98" s="169"/>
      <c r="E98" s="170" t="s">
        <v>246</v>
      </c>
      <c r="F98" s="171" t="str">
        <f t="shared" si="0"/>
        <v>Objetivos alcanzados</v>
      </c>
    </row>
    <row r="99" spans="2:6">
      <c r="B99" s="169" t="s">
        <v>139</v>
      </c>
      <c r="C99" s="169"/>
      <c r="D99" s="169"/>
      <c r="E99" s="170" t="s">
        <v>247</v>
      </c>
      <c r="F99" s="171" t="str">
        <f t="shared" si="0"/>
        <v>% Objetivos alcanzados</v>
      </c>
    </row>
    <row r="100" spans="2:6">
      <c r="B100" s="169" t="s">
        <v>140</v>
      </c>
      <c r="C100" s="169"/>
      <c r="D100" s="169"/>
      <c r="E100" s="170" t="s">
        <v>249</v>
      </c>
      <c r="F100" s="171" t="str">
        <f t="shared" si="0"/>
        <v>Objetivos en peligro</v>
      </c>
    </row>
    <row r="101" spans="2:6">
      <c r="B101" s="169" t="s">
        <v>141</v>
      </c>
      <c r="C101" s="169"/>
      <c r="D101" s="169"/>
      <c r="E101" s="170" t="s">
        <v>250</v>
      </c>
      <c r="F101" s="171" t="str">
        <f t="shared" si="0"/>
        <v>% Objetivos en peligro</v>
      </c>
    </row>
    <row r="102" spans="2:6">
      <c r="B102" s="169" t="s">
        <v>156</v>
      </c>
      <c r="C102" s="169"/>
      <c r="D102" s="169"/>
      <c r="E102" s="170" t="s">
        <v>255</v>
      </c>
      <c r="F102" s="171" t="str">
        <f t="shared" si="0"/>
        <v>Promedio Metas alcanzadas</v>
      </c>
    </row>
    <row r="103" spans="2:6">
      <c r="B103" s="169" t="s">
        <v>157</v>
      </c>
      <c r="C103" s="169"/>
      <c r="D103" s="169"/>
      <c r="E103" s="170" t="s">
        <v>257</v>
      </c>
      <c r="F103" s="171" t="str">
        <f t="shared" si="0"/>
        <v>Mejor dirección = Arriba</v>
      </c>
    </row>
    <row r="104" spans="2:6">
      <c r="B104" s="169" t="s">
        <v>158</v>
      </c>
      <c r="C104" s="169"/>
      <c r="D104" s="169"/>
      <c r="E104" s="170" t="s">
        <v>256</v>
      </c>
      <c r="F104" s="171" t="str">
        <f t="shared" si="0"/>
        <v>Mejor dirección = Abajo</v>
      </c>
    </row>
    <row r="105" spans="2:6">
      <c r="B105" s="169" t="s">
        <v>142</v>
      </c>
      <c r="C105" s="169"/>
      <c r="D105" s="169"/>
      <c r="E105" s="170" t="s">
        <v>258</v>
      </c>
      <c r="F105" s="171" t="str">
        <f t="shared" si="0"/>
        <v>Alcanzado</v>
      </c>
    </row>
    <row r="106" spans="2:6">
      <c r="B106" s="169" t="s">
        <v>143</v>
      </c>
      <c r="C106" s="169"/>
      <c r="D106" s="169"/>
      <c r="E106" s="170" t="s">
        <v>259</v>
      </c>
      <c r="F106" s="171" t="str">
        <f t="shared" si="0"/>
        <v>En peligro</v>
      </c>
    </row>
    <row r="107" spans="2:6">
      <c r="B107" s="169" t="s">
        <v>146</v>
      </c>
      <c r="C107" s="169"/>
      <c r="D107" s="169"/>
      <c r="E107" s="170" t="s">
        <v>260</v>
      </c>
      <c r="F107" s="171" t="str">
        <f t="shared" si="0"/>
        <v xml:space="preserve"># Total Acciones </v>
      </c>
    </row>
    <row r="108" spans="2:6">
      <c r="B108" s="169" t="s">
        <v>130</v>
      </c>
      <c r="C108" s="169"/>
      <c r="D108" s="169"/>
      <c r="E108" s="170" t="s">
        <v>261</v>
      </c>
      <c r="F108" s="171" t="str">
        <f t="shared" si="0"/>
        <v>Progreso promedio</v>
      </c>
    </row>
    <row r="109" spans="2:6">
      <c r="B109" s="169" t="s">
        <v>147</v>
      </c>
      <c r="C109" s="169"/>
      <c r="D109" s="169"/>
      <c r="E109" s="170" t="s">
        <v>262</v>
      </c>
      <c r="F109" s="171" t="str">
        <f t="shared" si="0"/>
        <v># Acciones vencidas</v>
      </c>
    </row>
    <row r="110" spans="2:6">
      <c r="B110" s="169" t="s">
        <v>148</v>
      </c>
      <c r="C110" s="169"/>
      <c r="D110" s="169"/>
      <c r="E110" s="170" t="s">
        <v>263</v>
      </c>
      <c r="F110" s="171" t="str">
        <f t="shared" si="0"/>
        <v>% Acciones atrasadas</v>
      </c>
    </row>
    <row r="111" spans="2:6">
      <c r="B111" s="169" t="s">
        <v>159</v>
      </c>
      <c r="C111" s="169"/>
      <c r="D111" s="169"/>
      <c r="E111" s="170" t="s">
        <v>264</v>
      </c>
      <c r="F111" s="171" t="str">
        <f t="shared" si="0"/>
        <v>Acciones por status</v>
      </c>
    </row>
    <row r="112" spans="2:6">
      <c r="B112" s="169" t="s">
        <v>160</v>
      </c>
      <c r="C112" s="169"/>
      <c r="D112" s="169"/>
      <c r="E112" s="170" t="s">
        <v>265</v>
      </c>
      <c r="F112" s="171" t="str">
        <f t="shared" si="0"/>
        <v>Acciones por objetivo y status</v>
      </c>
    </row>
    <row r="113" spans="2:6">
      <c r="B113" s="171" t="s">
        <v>161</v>
      </c>
      <c r="C113" s="171"/>
      <c r="D113" s="171"/>
      <c r="E113" s="174" t="s">
        <v>266</v>
      </c>
      <c r="F113" s="171" t="str">
        <f t="shared" si="0"/>
        <v>Progreso de las acciones por metas</v>
      </c>
    </row>
    <row r="114" spans="2:6">
      <c r="B114" s="171" t="s">
        <v>162</v>
      </c>
      <c r="C114" s="171"/>
      <c r="D114" s="171"/>
      <c r="E114" s="174" t="s">
        <v>267</v>
      </c>
      <c r="F114" s="171" t="str">
        <f t="shared" si="0"/>
        <v>Avances de acciones por área estratégica</v>
      </c>
    </row>
    <row r="115" spans="2:6">
      <c r="B115" s="169" t="s">
        <v>55</v>
      </c>
      <c r="C115" s="169"/>
      <c r="D115" s="169"/>
      <c r="E115" s="170" t="s">
        <v>170</v>
      </c>
      <c r="F115" s="171" t="str">
        <f t="shared" si="0"/>
        <v>Objetivos</v>
      </c>
    </row>
    <row r="116" spans="2:6">
      <c r="B116" s="169" t="s">
        <v>129</v>
      </c>
      <c r="C116" s="169"/>
      <c r="D116" s="169"/>
      <c r="E116" s="170" t="s">
        <v>268</v>
      </c>
      <c r="F116" s="171" t="str">
        <f t="shared" si="0"/>
        <v># Acciones</v>
      </c>
    </row>
    <row r="117" spans="2:6">
      <c r="B117" s="169" t="s">
        <v>130</v>
      </c>
      <c r="C117" s="169"/>
      <c r="D117" s="169"/>
      <c r="E117" s="170" t="s">
        <v>261</v>
      </c>
      <c r="F117" s="171" t="str">
        <f t="shared" si="0"/>
        <v>Progreso promedio</v>
      </c>
    </row>
    <row r="118" spans="2:6">
      <c r="B118" s="169" t="s">
        <v>127</v>
      </c>
      <c r="C118" s="169"/>
      <c r="D118" s="169"/>
      <c r="E118" s="170" t="s">
        <v>269</v>
      </c>
      <c r="F118" s="171" t="str">
        <f t="shared" si="0"/>
        <v>Progreso</v>
      </c>
    </row>
    <row r="119" spans="2:6">
      <c r="B119" s="169" t="s">
        <v>165</v>
      </c>
      <c r="C119" s="169"/>
      <c r="D119" s="169"/>
      <c r="E119" s="170" t="s">
        <v>270</v>
      </c>
      <c r="F119" s="171" t="str">
        <f t="shared" si="0"/>
        <v>Resumen de desempeño</v>
      </c>
    </row>
    <row r="120" spans="2:6">
      <c r="B120" s="169" t="s">
        <v>163</v>
      </c>
      <c r="C120" s="169"/>
      <c r="D120" s="169"/>
      <c r="E120" s="170" t="s">
        <v>271</v>
      </c>
      <c r="F120" s="171" t="str">
        <f t="shared" si="0"/>
        <v>PLAN ESTRATÉGICO</v>
      </c>
    </row>
    <row r="121" spans="2:6">
      <c r="B121" s="199" t="s">
        <v>5</v>
      </c>
      <c r="C121" s="199"/>
      <c r="D121" s="199"/>
      <c r="E121" s="200" t="s">
        <v>272</v>
      </c>
      <c r="F121" s="180" t="str">
        <f t="shared" si="0"/>
        <v>Mes</v>
      </c>
    </row>
    <row r="122" spans="2:6">
      <c r="B122" s="201" t="s">
        <v>1</v>
      </c>
      <c r="C122" s="201"/>
      <c r="D122" s="201"/>
      <c r="E122" s="202" t="s">
        <v>273</v>
      </c>
      <c r="F122" s="171" t="str">
        <f t="shared" si="0"/>
        <v>ENE</v>
      </c>
    </row>
    <row r="123" spans="2:6">
      <c r="B123" s="201" t="s">
        <v>6</v>
      </c>
      <c r="C123" s="201"/>
      <c r="D123" s="201"/>
      <c r="E123" s="202" t="s">
        <v>6</v>
      </c>
      <c r="F123" s="171" t="str">
        <f t="shared" si="0"/>
        <v>FEB</v>
      </c>
    </row>
    <row r="124" spans="2:6">
      <c r="B124" s="201" t="s">
        <v>7</v>
      </c>
      <c r="C124" s="201"/>
      <c r="D124" s="201"/>
      <c r="E124" s="202" t="s">
        <v>7</v>
      </c>
      <c r="F124" s="171" t="str">
        <f>IFERROR(IF($F$10=$B$10,B124,IF($F$10=$C$10,C124,IF($F$10=$D$10,D124,IF(E124="",B124,IF($F$10=$E$10,E124))))),"")</f>
        <v>MAR</v>
      </c>
    </row>
    <row r="125" spans="2:6">
      <c r="B125" s="201" t="s">
        <v>8</v>
      </c>
      <c r="C125" s="201"/>
      <c r="D125" s="201"/>
      <c r="E125" s="202" t="s">
        <v>9</v>
      </c>
      <c r="F125" s="171" t="str">
        <f t="shared" si="0"/>
        <v>ABR</v>
      </c>
    </row>
    <row r="126" spans="2:6">
      <c r="B126" s="201" t="s">
        <v>178</v>
      </c>
      <c r="C126" s="201"/>
      <c r="D126" s="201"/>
      <c r="E126" s="202" t="s">
        <v>178</v>
      </c>
      <c r="F126" s="171" t="str">
        <f t="shared" si="0"/>
        <v>MAY</v>
      </c>
    </row>
    <row r="127" spans="2:6">
      <c r="B127" s="201" t="s">
        <v>10</v>
      </c>
      <c r="C127" s="201"/>
      <c r="D127" s="201"/>
      <c r="E127" s="202" t="s">
        <v>10</v>
      </c>
      <c r="F127" s="171" t="str">
        <f t="shared" si="0"/>
        <v>JUN</v>
      </c>
    </row>
    <row r="128" spans="2:6">
      <c r="B128" s="201" t="s">
        <v>11</v>
      </c>
      <c r="C128" s="201"/>
      <c r="D128" s="201"/>
      <c r="E128" s="202" t="s">
        <v>11</v>
      </c>
      <c r="F128" s="171" t="str">
        <f t="shared" si="0"/>
        <v>JUL</v>
      </c>
    </row>
    <row r="129" spans="2:6">
      <c r="B129" s="201" t="s">
        <v>12</v>
      </c>
      <c r="C129" s="201"/>
      <c r="D129" s="201"/>
      <c r="E129" s="202" t="s">
        <v>13</v>
      </c>
      <c r="F129" s="171" t="str">
        <f t="shared" si="0"/>
        <v>AGO</v>
      </c>
    </row>
    <row r="130" spans="2:6">
      <c r="B130" s="201" t="s">
        <v>14</v>
      </c>
      <c r="C130" s="201"/>
      <c r="D130" s="201"/>
      <c r="E130" s="202" t="s">
        <v>14</v>
      </c>
      <c r="F130" s="171" t="str">
        <f t="shared" si="0"/>
        <v>SEP</v>
      </c>
    </row>
    <row r="131" spans="2:6">
      <c r="B131" s="201" t="s">
        <v>15</v>
      </c>
      <c r="C131" s="201"/>
      <c r="D131" s="201"/>
      <c r="E131" s="202" t="s">
        <v>15</v>
      </c>
      <c r="F131" s="171" t="str">
        <f t="shared" si="0"/>
        <v>OCT</v>
      </c>
    </row>
    <row r="132" spans="2:6">
      <c r="B132" s="201" t="s">
        <v>16</v>
      </c>
      <c r="C132" s="201"/>
      <c r="D132" s="201"/>
      <c r="E132" s="202" t="s">
        <v>16</v>
      </c>
      <c r="F132" s="171" t="str">
        <f t="shared" si="0"/>
        <v>NOV</v>
      </c>
    </row>
    <row r="133" spans="2:6">
      <c r="B133" s="203" t="s">
        <v>17</v>
      </c>
      <c r="C133" s="203"/>
      <c r="D133" s="203"/>
      <c r="E133" s="202" t="s">
        <v>274</v>
      </c>
      <c r="F133" s="177" t="str">
        <f t="shared" si="0"/>
        <v>DIC</v>
      </c>
    </row>
    <row r="134" spans="2:6">
      <c r="B134" s="199" t="s">
        <v>18</v>
      </c>
      <c r="C134" s="199"/>
      <c r="D134" s="199"/>
      <c r="E134" s="200" t="s">
        <v>275</v>
      </c>
      <c r="F134" s="180" t="str">
        <f t="shared" si="0"/>
        <v>Eneero</v>
      </c>
    </row>
    <row r="135" spans="2:6">
      <c r="B135" s="201" t="s">
        <v>19</v>
      </c>
      <c r="C135" s="201"/>
      <c r="D135" s="201"/>
      <c r="E135" s="202" t="s">
        <v>276</v>
      </c>
      <c r="F135" s="171" t="str">
        <f t="shared" si="0"/>
        <v>Febrero</v>
      </c>
    </row>
    <row r="136" spans="2:6">
      <c r="B136" s="201" t="s">
        <v>20</v>
      </c>
      <c r="C136" s="201"/>
      <c r="D136" s="201"/>
      <c r="E136" s="202" t="s">
        <v>277</v>
      </c>
      <c r="F136" s="171" t="str">
        <f t="shared" si="0"/>
        <v>Marzo</v>
      </c>
    </row>
    <row r="137" spans="2:6">
      <c r="B137" s="201" t="s">
        <v>21</v>
      </c>
      <c r="C137" s="201"/>
      <c r="D137" s="201"/>
      <c r="E137" s="202" t="s">
        <v>22</v>
      </c>
      <c r="F137" s="171" t="str">
        <f t="shared" si="0"/>
        <v>Abril</v>
      </c>
    </row>
    <row r="138" spans="2:6">
      <c r="B138" s="201" t="s">
        <v>23</v>
      </c>
      <c r="C138" s="201"/>
      <c r="D138" s="201"/>
      <c r="E138" s="202" t="s">
        <v>278</v>
      </c>
      <c r="F138" s="171" t="str">
        <f t="shared" si="0"/>
        <v>Mayo</v>
      </c>
    </row>
    <row r="139" spans="2:6">
      <c r="B139" s="201" t="s">
        <v>24</v>
      </c>
      <c r="C139" s="201"/>
      <c r="D139" s="201"/>
      <c r="E139" s="202" t="s">
        <v>279</v>
      </c>
      <c r="F139" s="171" t="str">
        <f t="shared" si="0"/>
        <v>Junio</v>
      </c>
    </row>
    <row r="140" spans="2:6">
      <c r="B140" s="201" t="s">
        <v>25</v>
      </c>
      <c r="C140" s="201"/>
      <c r="D140" s="201"/>
      <c r="E140" s="202" t="s">
        <v>280</v>
      </c>
      <c r="F140" s="171" t="str">
        <f t="shared" si="0"/>
        <v>Julio</v>
      </c>
    </row>
    <row r="141" spans="2:6">
      <c r="B141" s="201" t="s">
        <v>26</v>
      </c>
      <c r="C141" s="201"/>
      <c r="D141" s="201"/>
      <c r="E141" s="202" t="s">
        <v>27</v>
      </c>
      <c r="F141" s="171" t="str">
        <f t="shared" si="0"/>
        <v>Agosto</v>
      </c>
    </row>
    <row r="142" spans="2:6">
      <c r="B142" s="201" t="s">
        <v>28</v>
      </c>
      <c r="C142" s="201"/>
      <c r="D142" s="201"/>
      <c r="E142" s="202" t="s">
        <v>281</v>
      </c>
      <c r="F142" s="171" t="str">
        <f t="shared" si="0"/>
        <v>Septiembre</v>
      </c>
    </row>
    <row r="143" spans="2:6">
      <c r="B143" s="201" t="s">
        <v>29</v>
      </c>
      <c r="C143" s="201"/>
      <c r="D143" s="201"/>
      <c r="E143" s="202" t="s">
        <v>282</v>
      </c>
      <c r="F143" s="171" t="str">
        <f t="shared" si="0"/>
        <v>Octubre</v>
      </c>
    </row>
    <row r="144" spans="2:6">
      <c r="B144" s="201" t="s">
        <v>30</v>
      </c>
      <c r="C144" s="201"/>
      <c r="D144" s="201"/>
      <c r="E144" s="202" t="s">
        <v>283</v>
      </c>
      <c r="F144" s="171" t="str">
        <f t="shared" si="0"/>
        <v>Noviembre</v>
      </c>
    </row>
    <row r="145" spans="2:6">
      <c r="B145" s="203" t="s">
        <v>31</v>
      </c>
      <c r="C145" s="203"/>
      <c r="D145" s="203"/>
      <c r="E145" s="202" t="s">
        <v>284</v>
      </c>
      <c r="F145" s="177" t="str">
        <f t="shared" si="0"/>
        <v>Diciembre</v>
      </c>
    </row>
    <row r="146" spans="2:6" ht="20" customHeight="1">
      <c r="B146" s="201" t="s">
        <v>285</v>
      </c>
      <c r="C146" s="201"/>
      <c r="D146" s="201"/>
      <c r="E146" s="202" t="s">
        <v>291</v>
      </c>
      <c r="F146" s="171" t="str">
        <f>IFERROR(IF($F$10=$B$10,B146,IF($F$10=$C$10,C146,IF($F$10=$D$10,D146,IF(E146="",B146,IF($F$10=$E$10,E146))))),"")</f>
        <v>Meta 1</v>
      </c>
    </row>
    <row r="147" spans="2:6" ht="20" customHeight="1">
      <c r="B147" s="201" t="s">
        <v>286</v>
      </c>
      <c r="C147" s="201"/>
      <c r="D147" s="201"/>
      <c r="E147" s="202" t="s">
        <v>292</v>
      </c>
      <c r="F147" s="171" t="str">
        <f t="shared" ref="F147:F151" si="2">IFERROR(IF($F$10=$B$10,B147,IF($F$10=$C$10,C147,IF($F$10=$D$10,D147,IF(E147="",B147,IF($F$10=$E$10,E147))))),"")</f>
        <v>Meta 2</v>
      </c>
    </row>
    <row r="148" spans="2:6" ht="20" customHeight="1">
      <c r="B148" s="201" t="s">
        <v>287</v>
      </c>
      <c r="C148" s="201"/>
      <c r="D148" s="201"/>
      <c r="E148" s="202" t="s">
        <v>293</v>
      </c>
      <c r="F148" s="171" t="str">
        <f t="shared" si="2"/>
        <v>Meta 3</v>
      </c>
    </row>
    <row r="149" spans="2:6" ht="20" customHeight="1">
      <c r="B149" s="201" t="s">
        <v>288</v>
      </c>
      <c r="C149" s="201"/>
      <c r="D149" s="201"/>
      <c r="E149" s="202" t="s">
        <v>294</v>
      </c>
      <c r="F149" s="171" t="str">
        <f t="shared" si="2"/>
        <v>Meta 4</v>
      </c>
    </row>
    <row r="150" spans="2:6" ht="20" customHeight="1">
      <c r="B150" s="201" t="s">
        <v>289</v>
      </c>
      <c r="C150" s="201"/>
      <c r="D150" s="201"/>
      <c r="E150" s="202" t="s">
        <v>295</v>
      </c>
      <c r="F150" s="171" t="str">
        <f t="shared" si="2"/>
        <v>Meta 5</v>
      </c>
    </row>
    <row r="151" spans="2:6" ht="20" customHeight="1">
      <c r="B151" s="201" t="s">
        <v>290</v>
      </c>
      <c r="C151" s="203"/>
      <c r="D151" s="201"/>
      <c r="E151" s="202" t="s">
        <v>296</v>
      </c>
      <c r="F151" s="177" t="str">
        <f t="shared" si="2"/>
        <v>Meta 6</v>
      </c>
    </row>
    <row r="152" spans="2:6" ht="20" customHeight="1">
      <c r="B152" s="457" t="s">
        <v>314</v>
      </c>
      <c r="C152" s="201"/>
      <c r="D152" s="201"/>
      <c r="E152" s="458" t="s">
        <v>315</v>
      </c>
      <c r="F152" s="171" t="str">
        <f t="shared" ref="F152" si="3">IFERROR(IF($F$10=$B$10,B152,IF($F$10=$C$10,C152,IF($F$10=$D$10,D152,IF(E152="",B152,IF($F$10=$E$10,E152))))),"")</f>
        <v>También puede estructurar su plan estratégico por departamento, iniciativas o temas. Límite de 8 áreas.</v>
      </c>
    </row>
    <row r="153" spans="2:6" ht="20" customHeight="1"/>
    <row r="154" spans="2:6" ht="20" customHeight="1"/>
  </sheetData>
  <phoneticPr fontId="31" type="noConversion"/>
  <pageMargins left="0.7" right="0.7" top="0.75" bottom="0.75" header="0.3" footer="0.3"/>
  <pageSetup scale="6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6E73A-6BBC-408A-A58A-326F73AB4C5A}">
  <dimension ref="A1:S87"/>
  <sheetViews>
    <sheetView showGridLines="0" showRowColHeaders="0" zoomScaleNormal="100" workbookViewId="0"/>
  </sheetViews>
  <sheetFormatPr baseColWidth="10" defaultColWidth="11.5" defaultRowHeight="15"/>
  <cols>
    <col min="1" max="1" width="2.6640625" style="290" customWidth="1"/>
    <col min="2" max="5" width="32.6640625" style="290" customWidth="1"/>
    <col min="6" max="7" width="20.6640625" style="290" customWidth="1"/>
    <col min="8" max="8" width="20.6640625" style="295" customWidth="1"/>
    <col min="9" max="16384" width="11.5" style="290"/>
  </cols>
  <sheetData>
    <row r="1" spans="1:19" s="268" customFormat="1" ht="39" customHeight="1">
      <c r="A1" s="266"/>
      <c r="B1" s="266"/>
      <c r="C1" s="266"/>
      <c r="D1" s="266"/>
      <c r="E1" s="266"/>
      <c r="F1" s="266"/>
      <c r="G1" s="266"/>
      <c r="H1" s="329"/>
      <c r="I1" s="266"/>
      <c r="J1" s="266"/>
      <c r="K1" s="266"/>
      <c r="L1" s="266"/>
      <c r="M1" s="266"/>
      <c r="N1" s="266"/>
      <c r="O1" s="266"/>
      <c r="P1" s="266"/>
      <c r="Q1" s="266"/>
      <c r="R1" s="266"/>
      <c r="S1" s="266"/>
    </row>
    <row r="2" spans="1:19" s="312" customFormat="1" ht="25" customHeight="1">
      <c r="H2" s="330"/>
    </row>
    <row r="3" spans="1:19" s="331" customFormat="1" ht="18" customHeight="1">
      <c r="H3" s="332"/>
    </row>
    <row r="4" spans="1:19" s="331" customFormat="1" ht="18" customHeight="1">
      <c r="H4" s="332"/>
    </row>
    <row r="5" spans="1:19" s="287" customFormat="1" ht="20" customHeight="1">
      <c r="H5" s="324"/>
    </row>
    <row r="6" spans="1:19" ht="20" customHeight="1">
      <c r="A6" s="288"/>
      <c r="B6" s="288"/>
      <c r="C6" s="288"/>
      <c r="D6" s="288"/>
      <c r="E6" s="288"/>
      <c r="F6" s="288"/>
      <c r="G6" s="288"/>
    </row>
    <row r="7" spans="1:19" ht="20" customHeight="1">
      <c r="A7" s="288"/>
      <c r="B7" s="303" t="str">
        <f>Lan!F43&amp;" - "&amp; Goals!C15</f>
        <v>2.3. Objetivos - Asegurar la calidad e inocuidad de los productos en todos los procesos de la planta.</v>
      </c>
      <c r="C7" s="303"/>
      <c r="D7" s="303"/>
      <c r="E7" s="303"/>
      <c r="F7" s="92"/>
      <c r="G7" s="92"/>
      <c r="H7" s="333"/>
    </row>
    <row r="8" spans="1:19" ht="20" customHeight="1">
      <c r="A8" s="288"/>
      <c r="B8" s="334" t="str">
        <f>Lan!F44</f>
        <v>Los objetivos proporcionan hitos específicos con un cronograma específico para lograr una meta.</v>
      </c>
      <c r="C8" s="92"/>
      <c r="D8" s="92"/>
      <c r="E8" s="92"/>
      <c r="F8" s="92"/>
      <c r="G8" s="92"/>
      <c r="H8" s="333"/>
    </row>
    <row r="9" spans="1:19" ht="20" customHeight="1" thickBot="1">
      <c r="A9" s="288"/>
      <c r="B9" s="92"/>
      <c r="C9" s="92"/>
      <c r="D9" s="92"/>
      <c r="E9" s="92"/>
      <c r="F9" s="92"/>
      <c r="G9" s="92"/>
      <c r="H9" s="333"/>
    </row>
    <row r="10" spans="1:19" s="338" customFormat="1" ht="20" customHeight="1" thickTop="1" thickBot="1">
      <c r="B10" s="419" t="str">
        <f>IF(Goals!$C$12="","",Goals!$B$12)</f>
        <v>Meta 1</v>
      </c>
      <c r="C10" s="419" t="str">
        <f>IF(Goals!$C$13="","",Goals!$B$13)</f>
        <v>Meta 2</v>
      </c>
      <c r="D10" s="419" t="str">
        <f>IF(Goals!$C$14="","",Goals!$B$14)</f>
        <v>Meta 3</v>
      </c>
      <c r="E10" s="420" t="str">
        <f>IF(Goals!$C$15="","",Goals!$B$15)</f>
        <v>Meta 4</v>
      </c>
      <c r="F10" s="419" t="str">
        <f>IF(Goals!$C$16="","",Goals!$B$16)</f>
        <v>Meta 5</v>
      </c>
      <c r="G10" s="419" t="str">
        <f>IF(Goals!$C$17="","",Goals!$B$17)</f>
        <v>Meta 6</v>
      </c>
      <c r="H10" s="335"/>
    </row>
    <row r="11" spans="1:19" ht="30" customHeight="1" thickTop="1" thickBot="1">
      <c r="A11" s="288"/>
      <c r="B11" s="494" t="str">
        <f>Lan!F45</f>
        <v>Objetivos</v>
      </c>
      <c r="C11" s="494"/>
      <c r="D11" s="494" t="str">
        <f>SA!C10</f>
        <v>Áreas estratégicas</v>
      </c>
      <c r="E11" s="494"/>
      <c r="F11" s="344" t="str">
        <f>Lan!F47</f>
        <v>Formato</v>
      </c>
      <c r="G11" s="344" t="str">
        <f>Lan!F48</f>
        <v>Mejor dirección</v>
      </c>
      <c r="H11" s="345" t="str">
        <f>Lan!F59</f>
        <v>Expresiones</v>
      </c>
    </row>
    <row r="12" spans="1:19" ht="30" customHeight="1">
      <c r="A12" s="288"/>
      <c r="B12" s="489" t="s">
        <v>344</v>
      </c>
      <c r="C12" s="490"/>
      <c r="D12" s="483" t="s">
        <v>328</v>
      </c>
      <c r="E12" s="484"/>
      <c r="F12" s="90" t="s">
        <v>70</v>
      </c>
      <c r="G12" s="90" t="s">
        <v>71</v>
      </c>
      <c r="H12" s="213" t="s">
        <v>219</v>
      </c>
    </row>
    <row r="13" spans="1:19" ht="30" customHeight="1">
      <c r="A13" s="288"/>
      <c r="B13" s="489" t="s">
        <v>345</v>
      </c>
      <c r="C13" s="490"/>
      <c r="D13" s="483" t="s">
        <v>330</v>
      </c>
      <c r="E13" s="484"/>
      <c r="F13" s="90" t="s">
        <v>63</v>
      </c>
      <c r="G13" s="90" t="s">
        <v>72</v>
      </c>
      <c r="H13" s="213" t="s">
        <v>173</v>
      </c>
    </row>
    <row r="14" spans="1:19" ht="30" customHeight="1">
      <c r="A14" s="288"/>
      <c r="B14" s="489"/>
      <c r="C14" s="490"/>
      <c r="D14" s="483"/>
      <c r="E14" s="484"/>
      <c r="F14" s="90"/>
      <c r="G14" s="90"/>
      <c r="H14" s="213"/>
    </row>
    <row r="15" spans="1:19" ht="30" customHeight="1">
      <c r="A15" s="288"/>
      <c r="B15" s="489"/>
      <c r="C15" s="490"/>
      <c r="D15" s="483"/>
      <c r="E15" s="484"/>
      <c r="F15" s="464"/>
      <c r="G15" s="90"/>
      <c r="H15" s="213"/>
    </row>
    <row r="16" spans="1:19" ht="30" customHeight="1">
      <c r="A16" s="288"/>
      <c r="B16" s="489"/>
      <c r="C16" s="490"/>
      <c r="D16" s="483"/>
      <c r="E16" s="484"/>
      <c r="F16" s="90"/>
      <c r="G16" s="90"/>
      <c r="H16" s="213"/>
    </row>
    <row r="17" spans="1:9" ht="30" customHeight="1">
      <c r="A17" s="288"/>
      <c r="B17" s="489"/>
      <c r="C17" s="490"/>
      <c r="D17" s="483"/>
      <c r="E17" s="484"/>
      <c r="F17" s="91"/>
      <c r="G17" s="90"/>
      <c r="H17" s="213"/>
    </row>
    <row r="18" spans="1:9" ht="30" customHeight="1">
      <c r="A18" s="288"/>
      <c r="B18" s="489"/>
      <c r="C18" s="490"/>
      <c r="D18" s="491"/>
      <c r="E18" s="492"/>
      <c r="F18" s="339"/>
      <c r="G18" s="339"/>
      <c r="H18" s="340"/>
    </row>
    <row r="19" spans="1:9" ht="30" customHeight="1">
      <c r="A19" s="288"/>
      <c r="B19" s="489"/>
      <c r="C19" s="490"/>
      <c r="D19" s="491"/>
      <c r="E19" s="492"/>
      <c r="F19" s="339"/>
      <c r="G19" s="339"/>
      <c r="H19" s="340"/>
    </row>
    <row r="20" spans="1:9" ht="30" customHeight="1">
      <c r="A20" s="288"/>
      <c r="B20" s="489"/>
      <c r="C20" s="490"/>
      <c r="D20" s="491"/>
      <c r="E20" s="492"/>
      <c r="F20" s="339"/>
      <c r="G20" s="339"/>
      <c r="H20" s="340"/>
    </row>
    <row r="21" spans="1:9" ht="30" customHeight="1">
      <c r="A21" s="288"/>
      <c r="B21" s="489"/>
      <c r="C21" s="490"/>
      <c r="D21" s="491"/>
      <c r="E21" s="492"/>
      <c r="F21" s="339"/>
      <c r="G21" s="341"/>
      <c r="H21" s="340"/>
      <c r="I21" s="316"/>
    </row>
    <row r="22" spans="1:9" ht="20" customHeight="1">
      <c r="A22" s="288"/>
      <c r="B22" s="326"/>
      <c r="C22" s="326"/>
      <c r="D22" s="326"/>
      <c r="E22" s="326"/>
      <c r="F22" s="326"/>
      <c r="G22" s="326"/>
      <c r="H22" s="327"/>
      <c r="I22" s="316"/>
    </row>
    <row r="23" spans="1:9" ht="20" customHeight="1">
      <c r="A23" s="288"/>
      <c r="B23" s="311"/>
      <c r="C23" s="311"/>
      <c r="D23" s="311"/>
      <c r="E23" s="311"/>
      <c r="F23" s="311"/>
      <c r="G23" s="311"/>
      <c r="H23" s="327"/>
      <c r="I23" s="316"/>
    </row>
    <row r="24" spans="1:9" ht="20" customHeight="1">
      <c r="A24" s="288"/>
      <c r="B24" s="299"/>
      <c r="C24" s="288"/>
      <c r="D24" s="288"/>
      <c r="E24" s="288"/>
      <c r="F24" s="288"/>
      <c r="G24" s="288"/>
      <c r="H24" s="327"/>
      <c r="I24" s="316"/>
    </row>
    <row r="25" spans="1:9" ht="20" customHeight="1">
      <c r="A25" s="288"/>
      <c r="B25" s="299"/>
      <c r="C25" s="288"/>
      <c r="D25" s="288"/>
      <c r="E25" s="288"/>
      <c r="F25" s="288"/>
      <c r="G25" s="288"/>
      <c r="H25" s="327"/>
      <c r="I25" s="316"/>
    </row>
    <row r="26" spans="1:9" ht="20" customHeight="1">
      <c r="A26" s="288"/>
      <c r="B26" s="299"/>
      <c r="C26" s="288"/>
      <c r="D26" s="288"/>
      <c r="E26" s="288"/>
      <c r="F26" s="288"/>
      <c r="G26" s="288"/>
    </row>
    <row r="27" spans="1:9" ht="20" customHeight="1">
      <c r="A27" s="288"/>
      <c r="B27" s="299"/>
      <c r="C27" s="288"/>
      <c r="D27" s="288"/>
      <c r="E27" s="288"/>
      <c r="F27" s="288"/>
      <c r="G27" s="288"/>
      <c r="H27" s="328"/>
      <c r="I27" s="310"/>
    </row>
    <row r="28" spans="1:9" ht="20" customHeight="1">
      <c r="A28" s="288"/>
      <c r="B28" s="299"/>
      <c r="C28" s="288"/>
      <c r="D28" s="288"/>
      <c r="E28" s="288"/>
      <c r="F28" s="288"/>
      <c r="G28" s="288"/>
    </row>
    <row r="29" spans="1:9" ht="20" customHeight="1">
      <c r="A29" s="288"/>
      <c r="B29" s="299"/>
      <c r="C29" s="288"/>
      <c r="D29" s="288"/>
      <c r="E29" s="288"/>
      <c r="F29" s="288"/>
      <c r="G29" s="288"/>
    </row>
    <row r="30" spans="1:9" ht="20" customHeight="1">
      <c r="A30" s="288"/>
      <c r="B30" s="299"/>
      <c r="C30" s="288"/>
      <c r="D30" s="288"/>
      <c r="E30" s="288"/>
      <c r="F30" s="288"/>
      <c r="G30" s="288"/>
    </row>
    <row r="31" spans="1:9" ht="20" customHeight="1">
      <c r="A31" s="288"/>
      <c r="B31" s="299"/>
      <c r="C31" s="288"/>
      <c r="D31" s="288"/>
      <c r="E31" s="288"/>
      <c r="F31" s="288"/>
      <c r="G31" s="288"/>
    </row>
    <row r="32" spans="1:9" ht="20" customHeight="1">
      <c r="A32" s="288"/>
      <c r="B32" s="299"/>
      <c r="C32" s="288"/>
      <c r="D32" s="288"/>
      <c r="E32" s="288"/>
      <c r="F32" s="288"/>
      <c r="G32" s="288"/>
    </row>
    <row r="33" spans="1:7" ht="20" customHeight="1">
      <c r="A33" s="288"/>
      <c r="B33" s="299"/>
      <c r="C33" s="288"/>
      <c r="D33" s="288"/>
      <c r="E33" s="288"/>
      <c r="F33" s="288"/>
      <c r="G33" s="288"/>
    </row>
    <row r="34" spans="1:7" ht="20" customHeight="1">
      <c r="A34" s="288"/>
      <c r="B34" s="299"/>
      <c r="C34" s="288"/>
      <c r="D34" s="288"/>
      <c r="E34" s="288"/>
      <c r="F34" s="288"/>
      <c r="G34" s="288"/>
    </row>
    <row r="35" spans="1:7" ht="20" customHeight="1">
      <c r="A35" s="288"/>
      <c r="B35" s="299"/>
      <c r="C35" s="288"/>
      <c r="D35" s="288"/>
      <c r="E35" s="288"/>
      <c r="F35" s="288"/>
      <c r="G35" s="288"/>
    </row>
    <row r="36" spans="1:7" ht="20" customHeight="1">
      <c r="A36" s="288"/>
      <c r="B36" s="299"/>
      <c r="C36" s="288"/>
      <c r="D36" s="288"/>
      <c r="E36" s="288"/>
      <c r="F36" s="288"/>
      <c r="G36" s="288"/>
    </row>
    <row r="37" spans="1:7" ht="20" customHeight="1">
      <c r="A37" s="288"/>
      <c r="B37" s="299"/>
      <c r="C37" s="288"/>
      <c r="D37" s="288"/>
      <c r="E37" s="288"/>
      <c r="F37" s="288"/>
      <c r="G37" s="288"/>
    </row>
    <row r="38" spans="1:7" ht="20" customHeight="1">
      <c r="A38" s="288"/>
      <c r="B38" s="299"/>
      <c r="C38" s="288"/>
      <c r="D38" s="288"/>
      <c r="E38" s="288"/>
      <c r="F38" s="288"/>
      <c r="G38" s="288"/>
    </row>
    <row r="39" spans="1:7" ht="20" customHeight="1">
      <c r="A39" s="288"/>
      <c r="B39" s="299"/>
      <c r="C39" s="288"/>
      <c r="D39" s="288"/>
      <c r="E39" s="288"/>
      <c r="F39" s="288"/>
      <c r="G39" s="288"/>
    </row>
    <row r="40" spans="1:7" ht="20" customHeight="1">
      <c r="A40" s="288"/>
      <c r="B40" s="299"/>
      <c r="C40" s="288"/>
      <c r="D40" s="288"/>
      <c r="E40" s="288"/>
      <c r="F40" s="288"/>
      <c r="G40" s="288"/>
    </row>
    <row r="41" spans="1:7" ht="20" customHeight="1">
      <c r="A41" s="288"/>
      <c r="B41" s="299"/>
      <c r="C41" s="288"/>
      <c r="D41" s="288"/>
      <c r="E41" s="288"/>
      <c r="F41" s="288"/>
      <c r="G41" s="288"/>
    </row>
    <row r="42" spans="1:7" ht="20" customHeight="1">
      <c r="A42" s="288"/>
      <c r="B42" s="299"/>
      <c r="C42" s="288"/>
      <c r="D42" s="288"/>
      <c r="E42" s="288"/>
      <c r="F42" s="288"/>
      <c r="G42" s="288"/>
    </row>
    <row r="43" spans="1:7" ht="20" customHeight="1">
      <c r="A43" s="288"/>
      <c r="B43" s="299"/>
      <c r="C43" s="288"/>
      <c r="D43" s="288"/>
      <c r="E43" s="288"/>
      <c r="F43" s="288"/>
      <c r="G43" s="288"/>
    </row>
    <row r="44" spans="1:7" ht="20" customHeight="1">
      <c r="A44" s="288"/>
      <c r="B44" s="299"/>
      <c r="C44" s="288"/>
      <c r="D44" s="288"/>
      <c r="E44" s="288"/>
      <c r="F44" s="288"/>
      <c r="G44" s="288"/>
    </row>
    <row r="45" spans="1:7" ht="20" customHeight="1">
      <c r="A45" s="288"/>
      <c r="B45" s="299"/>
      <c r="C45" s="288"/>
      <c r="D45" s="288"/>
      <c r="E45" s="288"/>
      <c r="F45" s="288"/>
      <c r="G45" s="288"/>
    </row>
    <row r="46" spans="1:7" ht="20" customHeight="1">
      <c r="A46" s="288"/>
      <c r="B46" s="299"/>
      <c r="C46" s="288"/>
      <c r="D46" s="288"/>
      <c r="E46" s="288"/>
      <c r="F46" s="288"/>
      <c r="G46" s="288"/>
    </row>
    <row r="47" spans="1:7" ht="20" customHeight="1">
      <c r="A47" s="288"/>
      <c r="B47" s="299"/>
      <c r="C47" s="288"/>
      <c r="D47" s="288"/>
      <c r="E47" s="288"/>
      <c r="F47" s="288"/>
      <c r="G47" s="288"/>
    </row>
    <row r="48" spans="1:7" ht="20" customHeight="1">
      <c r="A48" s="288"/>
      <c r="B48" s="299"/>
      <c r="C48" s="288"/>
      <c r="D48" s="288"/>
      <c r="E48" s="288"/>
      <c r="F48" s="288"/>
      <c r="G48" s="288"/>
    </row>
    <row r="49" spans="1:7" ht="20" customHeight="1">
      <c r="A49" s="288"/>
      <c r="B49" s="299"/>
      <c r="C49" s="288"/>
      <c r="D49" s="288"/>
      <c r="E49" s="288"/>
      <c r="F49" s="288"/>
      <c r="G49" s="288"/>
    </row>
    <row r="50" spans="1:7" ht="20" customHeight="1">
      <c r="A50" s="288"/>
      <c r="B50" s="299"/>
      <c r="C50" s="288"/>
      <c r="D50" s="288"/>
      <c r="E50" s="288"/>
      <c r="F50" s="288"/>
      <c r="G50" s="288"/>
    </row>
    <row r="51" spans="1:7" ht="20" customHeight="1">
      <c r="A51" s="288"/>
      <c r="B51" s="299"/>
      <c r="C51" s="288"/>
      <c r="D51" s="288"/>
      <c r="E51" s="288"/>
      <c r="F51" s="288"/>
      <c r="G51" s="288"/>
    </row>
    <row r="52" spans="1:7" ht="20" customHeight="1">
      <c r="A52" s="288"/>
      <c r="B52" s="299"/>
      <c r="C52" s="288"/>
      <c r="D52" s="288"/>
      <c r="E52" s="288"/>
      <c r="F52" s="288"/>
      <c r="G52" s="288"/>
    </row>
    <row r="53" spans="1:7" ht="20" customHeight="1">
      <c r="A53" s="288"/>
      <c r="B53" s="299"/>
      <c r="C53" s="288"/>
      <c r="D53" s="288"/>
      <c r="E53" s="288"/>
      <c r="F53" s="288"/>
      <c r="G53" s="288"/>
    </row>
    <row r="54" spans="1:7" ht="20" customHeight="1">
      <c r="A54" s="288"/>
      <c r="B54" s="300"/>
      <c r="C54" s="288"/>
      <c r="D54" s="288"/>
      <c r="E54" s="288"/>
      <c r="F54" s="288"/>
      <c r="G54" s="288"/>
    </row>
    <row r="55" spans="1:7" ht="20" customHeight="1"/>
    <row r="56" spans="1:7" ht="20" customHeight="1"/>
    <row r="57" spans="1:7" ht="20" customHeight="1"/>
    <row r="58" spans="1:7" ht="20" customHeight="1"/>
    <row r="59" spans="1:7" ht="20" customHeight="1"/>
    <row r="60" spans="1:7" ht="20" customHeight="1"/>
    <row r="61" spans="1:7" ht="20" customHeight="1"/>
    <row r="62" spans="1:7" ht="20" customHeight="1"/>
    <row r="63" spans="1:7" ht="20" customHeight="1"/>
    <row r="64" spans="1:7"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sheetData>
  <sheetProtection formatCells="0" formatColumns="0" formatRows="0" selectLockedCells="1" sort="0" autoFilter="0" pivotTables="0"/>
  <mergeCells count="22">
    <mergeCell ref="B14:C14"/>
    <mergeCell ref="D14:E14"/>
    <mergeCell ref="B15:C15"/>
    <mergeCell ref="D15:E15"/>
    <mergeCell ref="B11:C11"/>
    <mergeCell ref="D11:E11"/>
    <mergeCell ref="B12:C12"/>
    <mergeCell ref="D12:E12"/>
    <mergeCell ref="B13:C13"/>
    <mergeCell ref="D13:E13"/>
    <mergeCell ref="B21:C21"/>
    <mergeCell ref="D21:E21"/>
    <mergeCell ref="B16:C16"/>
    <mergeCell ref="D16:E16"/>
    <mergeCell ref="B17:C17"/>
    <mergeCell ref="D17:E17"/>
    <mergeCell ref="B18:C18"/>
    <mergeCell ref="D18:E18"/>
    <mergeCell ref="B19:C19"/>
    <mergeCell ref="D19:E19"/>
    <mergeCell ref="B20:C20"/>
    <mergeCell ref="D20:E20"/>
  </mergeCells>
  <phoneticPr fontId="31" type="noConversion"/>
  <conditionalFormatting sqref="B10:G10">
    <cfRule type="expression" dxfId="1121" priority="1">
      <formula>B$10=""</formula>
    </cfRule>
  </conditionalFormatting>
  <dataValidations count="4">
    <dataValidation type="list" allowBlank="1" showInputMessage="1" showErrorMessage="1" sqref="H12:H21" xr:uid="{13A2618B-1EC8-44DB-83C5-30F2B41FB9FC}">
      <formula1>expression</formula1>
    </dataValidation>
    <dataValidation type="list" allowBlank="1" showInputMessage="1" showErrorMessage="1" sqref="G12:G21" xr:uid="{C7732B1A-BA5B-4DC2-8AAA-BAA879D3BBE8}">
      <formula1>Direction</formula1>
    </dataValidation>
    <dataValidation type="list" allowBlank="1" showInputMessage="1" showErrorMessage="1" sqref="F12:F21" xr:uid="{F2640651-3F26-4DB0-BAA9-7D7D37E1FDB0}">
      <formula1>Format</formula1>
    </dataValidation>
    <dataValidation type="list" allowBlank="1" showInputMessage="1" showErrorMessage="1" sqref="D12:E21" xr:uid="{7876A600-1571-4A46-9CFA-4A553CAFA756}">
      <formula1>DRangeAreas</formula1>
    </dataValidation>
  </dataValidations>
  <hyperlinks>
    <hyperlink ref="B10" location="'O1'!A1" display="'O1'!A1" xr:uid="{E70F1F13-3C3B-4894-8DF9-084C2E75F489}"/>
    <hyperlink ref="C10" location="'O2'!A1" display="'O2'!A1" xr:uid="{1FA5CFE1-410B-4EC3-835F-0736435697D3}"/>
    <hyperlink ref="E10" location="'O4'!A1" display="'O4'!A1" xr:uid="{48CE4349-D46C-4748-9381-A7F99E36C0FB}"/>
    <hyperlink ref="F10" location="'O5'!A1" display="'O5'!A1" xr:uid="{17A682BE-04F6-425F-A355-B90C47ACC03C}"/>
    <hyperlink ref="G10" location="'O6'!A1" display="'O6'!A1" xr:uid="{5D281CBB-F029-496A-BC92-93A8E024B61A}"/>
    <hyperlink ref="D10" location="'O3'!A1" display="'O3'!A1" xr:uid="{86816A33-9D52-4641-A023-FFB27941020E}"/>
  </hyperlinks>
  <pageMargins left="0.25" right="0.25" top="0.75" bottom="0.75" header="0.3" footer="0.3"/>
  <pageSetup scale="58"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E87A6-F819-4ED6-AA88-BAC4499F9ACC}">
  <dimension ref="A1:S87"/>
  <sheetViews>
    <sheetView showGridLines="0" showRowColHeaders="0" zoomScaleNormal="100" workbookViewId="0"/>
  </sheetViews>
  <sheetFormatPr baseColWidth="10" defaultColWidth="11.5" defaultRowHeight="15"/>
  <cols>
    <col min="1" max="1" width="2.6640625" style="290" customWidth="1"/>
    <col min="2" max="5" width="32.6640625" style="290" customWidth="1"/>
    <col min="6" max="7" width="20.6640625" style="290" customWidth="1"/>
    <col min="8" max="8" width="20.6640625" style="295" customWidth="1"/>
    <col min="9" max="16384" width="11.5" style="290"/>
  </cols>
  <sheetData>
    <row r="1" spans="1:19" s="268" customFormat="1" ht="39" customHeight="1">
      <c r="A1" s="266"/>
      <c r="B1" s="266"/>
      <c r="C1" s="266"/>
      <c r="D1" s="266"/>
      <c r="E1" s="266"/>
      <c r="F1" s="266"/>
      <c r="G1" s="266"/>
      <c r="H1" s="329"/>
      <c r="I1" s="266"/>
      <c r="J1" s="266"/>
      <c r="K1" s="266"/>
      <c r="L1" s="266"/>
      <c r="M1" s="266"/>
      <c r="N1" s="266"/>
      <c r="O1" s="266"/>
      <c r="P1" s="266"/>
      <c r="Q1" s="266"/>
      <c r="R1" s="266"/>
      <c r="S1" s="266"/>
    </row>
    <row r="2" spans="1:19" s="312" customFormat="1" ht="25" customHeight="1">
      <c r="H2" s="330"/>
    </row>
    <row r="3" spans="1:19" s="331" customFormat="1" ht="18" customHeight="1">
      <c r="H3" s="332"/>
    </row>
    <row r="4" spans="1:19" s="331" customFormat="1" ht="18" customHeight="1">
      <c r="H4" s="332"/>
    </row>
    <row r="5" spans="1:19" s="287" customFormat="1" ht="20" customHeight="1">
      <c r="H5" s="324"/>
    </row>
    <row r="6" spans="1:19" ht="20" customHeight="1">
      <c r="A6" s="288"/>
      <c r="B6" s="288"/>
      <c r="C6" s="288"/>
      <c r="D6" s="288"/>
      <c r="E6" s="288"/>
      <c r="F6" s="288"/>
      <c r="G6" s="288"/>
    </row>
    <row r="7" spans="1:19" ht="20" customHeight="1">
      <c r="A7" s="288"/>
      <c r="B7" s="303" t="str">
        <f>Lan!F43&amp;" - "&amp; Goals!C16</f>
        <v>2.3. Objetivos - Incrementar las ventas a través de plataformas digitales.</v>
      </c>
      <c r="C7" s="346"/>
      <c r="D7" s="346"/>
      <c r="E7" s="346"/>
      <c r="F7" s="92"/>
      <c r="G7" s="92"/>
      <c r="H7" s="333"/>
    </row>
    <row r="8" spans="1:19" ht="20" customHeight="1">
      <c r="A8" s="288"/>
      <c r="B8" s="334" t="str">
        <f>Lan!F44</f>
        <v>Los objetivos proporcionan hitos específicos con un cronograma específico para lograr una meta.</v>
      </c>
      <c r="C8" s="92"/>
      <c r="D8" s="92"/>
      <c r="E8" s="92"/>
      <c r="F8" s="92"/>
      <c r="G8" s="92"/>
      <c r="H8" s="333"/>
    </row>
    <row r="9" spans="1:19" ht="20" customHeight="1" thickBot="1">
      <c r="A9" s="288"/>
      <c r="B9" s="92"/>
      <c r="C9" s="92"/>
      <c r="D9" s="92"/>
      <c r="E9" s="92"/>
      <c r="F9" s="92"/>
      <c r="G9" s="92"/>
      <c r="H9" s="333"/>
    </row>
    <row r="10" spans="1:19" s="338" customFormat="1" ht="20" customHeight="1" thickTop="1" thickBot="1">
      <c r="B10" s="419" t="str">
        <f>IF(Goals!$C$12="","",Goals!$B$12)</f>
        <v>Meta 1</v>
      </c>
      <c r="C10" s="419" t="str">
        <f>IF(Goals!$C$13="","",Goals!$B$13)</f>
        <v>Meta 2</v>
      </c>
      <c r="D10" s="419" t="str">
        <f>IF(Goals!$C$14="","",Goals!$B$14)</f>
        <v>Meta 3</v>
      </c>
      <c r="E10" s="419" t="str">
        <f>IF(Goals!$C$15="","",Goals!$B$15)</f>
        <v>Meta 4</v>
      </c>
      <c r="F10" s="420" t="str">
        <f>IF(Goals!$C$16="","",Goals!$B$16)</f>
        <v>Meta 5</v>
      </c>
      <c r="G10" s="419" t="str">
        <f>IF(Goals!$C$17="","",Goals!$B$17)</f>
        <v>Meta 6</v>
      </c>
      <c r="H10" s="335"/>
    </row>
    <row r="11" spans="1:19" ht="30" customHeight="1" thickTop="1" thickBot="1">
      <c r="A11" s="288"/>
      <c r="B11" s="496" t="str">
        <f>Lan!F45</f>
        <v>Objetivos</v>
      </c>
      <c r="C11" s="496"/>
      <c r="D11" s="496" t="str">
        <f>SA!C10</f>
        <v>Áreas estratégicas</v>
      </c>
      <c r="E11" s="496"/>
      <c r="F11" s="347" t="str">
        <f>Lan!F47</f>
        <v>Formato</v>
      </c>
      <c r="G11" s="347" t="str">
        <f>Lan!F48</f>
        <v>Mejor dirección</v>
      </c>
      <c r="H11" s="348" t="str">
        <f>Lan!F59</f>
        <v>Expresiones</v>
      </c>
    </row>
    <row r="12" spans="1:19" ht="30" customHeight="1">
      <c r="A12" s="288"/>
      <c r="B12" s="487" t="s">
        <v>346</v>
      </c>
      <c r="C12" s="488"/>
      <c r="D12" s="485" t="s">
        <v>333</v>
      </c>
      <c r="E12" s="486"/>
      <c r="F12" s="90" t="s">
        <v>70</v>
      </c>
      <c r="G12" s="90" t="s">
        <v>71</v>
      </c>
      <c r="H12" s="213" t="s">
        <v>219</v>
      </c>
    </row>
    <row r="13" spans="1:19" ht="30" customHeight="1">
      <c r="A13" s="288"/>
      <c r="B13" s="489" t="s">
        <v>347</v>
      </c>
      <c r="C13" s="490"/>
      <c r="D13" s="483" t="s">
        <v>332</v>
      </c>
      <c r="E13" s="484"/>
      <c r="F13" s="464">
        <v>0</v>
      </c>
      <c r="G13" s="90" t="s">
        <v>71</v>
      </c>
      <c r="H13" s="213" t="s">
        <v>173</v>
      </c>
    </row>
    <row r="14" spans="1:19" ht="30" customHeight="1">
      <c r="A14" s="288"/>
      <c r="B14" s="489"/>
      <c r="C14" s="490"/>
      <c r="D14" s="483"/>
      <c r="E14" s="484"/>
      <c r="F14" s="90"/>
      <c r="G14" s="90"/>
      <c r="H14" s="213"/>
    </row>
    <row r="15" spans="1:19" ht="30" customHeight="1">
      <c r="A15" s="288"/>
      <c r="B15" s="489"/>
      <c r="C15" s="490"/>
      <c r="D15" s="483"/>
      <c r="E15" s="484"/>
      <c r="F15" s="91"/>
      <c r="G15" s="90"/>
      <c r="H15" s="213"/>
    </row>
    <row r="16" spans="1:19" ht="30" customHeight="1">
      <c r="A16" s="288"/>
      <c r="B16" s="489"/>
      <c r="C16" s="490"/>
      <c r="D16" s="491"/>
      <c r="E16" s="492"/>
      <c r="F16" s="339"/>
      <c r="G16" s="339"/>
      <c r="H16" s="340"/>
    </row>
    <row r="17" spans="1:9" ht="30" customHeight="1">
      <c r="A17" s="288"/>
      <c r="B17" s="489"/>
      <c r="C17" s="490"/>
      <c r="D17" s="491"/>
      <c r="E17" s="492"/>
      <c r="F17" s="339"/>
      <c r="G17" s="339"/>
      <c r="H17" s="340"/>
    </row>
    <row r="18" spans="1:9" ht="30" customHeight="1">
      <c r="A18" s="288"/>
      <c r="B18" s="489"/>
      <c r="C18" s="490"/>
      <c r="D18" s="491"/>
      <c r="E18" s="492"/>
      <c r="F18" s="339"/>
      <c r="G18" s="339"/>
      <c r="H18" s="340"/>
    </row>
    <row r="19" spans="1:9" ht="30" customHeight="1">
      <c r="A19" s="288"/>
      <c r="B19" s="489"/>
      <c r="C19" s="490"/>
      <c r="D19" s="491"/>
      <c r="E19" s="492"/>
      <c r="F19" s="339"/>
      <c r="G19" s="339"/>
      <c r="H19" s="340"/>
    </row>
    <row r="20" spans="1:9" ht="30" customHeight="1">
      <c r="A20" s="288"/>
      <c r="B20" s="489"/>
      <c r="C20" s="490"/>
      <c r="D20" s="491"/>
      <c r="E20" s="492"/>
      <c r="F20" s="339"/>
      <c r="G20" s="339"/>
      <c r="H20" s="340"/>
    </row>
    <row r="21" spans="1:9" ht="30" customHeight="1">
      <c r="A21" s="288"/>
      <c r="B21" s="489"/>
      <c r="C21" s="490"/>
      <c r="D21" s="491"/>
      <c r="E21" s="492"/>
      <c r="F21" s="341"/>
      <c r="G21" s="341"/>
      <c r="H21" s="340"/>
      <c r="I21" s="316"/>
    </row>
    <row r="22" spans="1:9" ht="20" customHeight="1">
      <c r="A22" s="288"/>
      <c r="B22" s="326"/>
      <c r="C22" s="326"/>
      <c r="D22" s="326"/>
      <c r="E22" s="326"/>
      <c r="F22" s="326"/>
      <c r="G22" s="326"/>
      <c r="H22" s="327"/>
      <c r="I22" s="316"/>
    </row>
    <row r="23" spans="1:9" ht="20" customHeight="1">
      <c r="A23" s="288"/>
      <c r="B23" s="311"/>
      <c r="C23" s="311"/>
      <c r="D23" s="311"/>
      <c r="E23" s="311"/>
      <c r="F23" s="311"/>
      <c r="G23" s="311"/>
      <c r="H23" s="327"/>
      <c r="I23" s="316"/>
    </row>
    <row r="24" spans="1:9" ht="20" customHeight="1">
      <c r="A24" s="288"/>
      <c r="B24" s="299"/>
      <c r="C24" s="288"/>
      <c r="D24" s="288"/>
      <c r="E24" s="288"/>
      <c r="F24" s="288"/>
      <c r="G24" s="288"/>
      <c r="H24" s="327"/>
      <c r="I24" s="316"/>
    </row>
    <row r="25" spans="1:9" ht="20" customHeight="1">
      <c r="A25" s="288"/>
      <c r="B25" s="299"/>
      <c r="C25" s="288"/>
      <c r="D25" s="288"/>
      <c r="E25" s="288"/>
      <c r="F25" s="288"/>
      <c r="G25" s="288"/>
      <c r="H25" s="327"/>
      <c r="I25" s="316"/>
    </row>
    <row r="26" spans="1:9" ht="20" customHeight="1">
      <c r="A26" s="288"/>
      <c r="B26" s="299"/>
      <c r="C26" s="288"/>
      <c r="D26" s="288"/>
      <c r="E26" s="288"/>
      <c r="F26" s="288"/>
      <c r="G26" s="288"/>
    </row>
    <row r="27" spans="1:9" ht="20" customHeight="1">
      <c r="A27" s="288"/>
      <c r="B27" s="299"/>
      <c r="C27" s="288"/>
      <c r="D27" s="288"/>
      <c r="E27" s="288"/>
      <c r="F27" s="288"/>
      <c r="G27" s="288"/>
      <c r="H27" s="328"/>
      <c r="I27" s="310"/>
    </row>
    <row r="28" spans="1:9" ht="20" customHeight="1">
      <c r="A28" s="288"/>
      <c r="B28" s="299"/>
      <c r="C28" s="288"/>
      <c r="D28" s="288"/>
      <c r="E28" s="288"/>
      <c r="F28" s="288"/>
      <c r="G28" s="288"/>
    </row>
    <row r="29" spans="1:9" ht="20" customHeight="1">
      <c r="A29" s="288"/>
      <c r="B29" s="299"/>
      <c r="C29" s="288"/>
      <c r="D29" s="288"/>
      <c r="E29" s="288"/>
      <c r="F29" s="288"/>
      <c r="G29" s="288"/>
    </row>
    <row r="30" spans="1:9" ht="20" customHeight="1">
      <c r="A30" s="288"/>
      <c r="B30" s="299"/>
      <c r="C30" s="288"/>
      <c r="D30" s="288"/>
      <c r="E30" s="288"/>
      <c r="F30" s="288"/>
      <c r="G30" s="288"/>
    </row>
    <row r="31" spans="1:9" ht="20" customHeight="1">
      <c r="A31" s="288"/>
      <c r="B31" s="299"/>
      <c r="C31" s="288"/>
      <c r="D31" s="288"/>
      <c r="E31" s="288"/>
      <c r="F31" s="288"/>
      <c r="G31" s="288"/>
    </row>
    <row r="32" spans="1:9" ht="20" customHeight="1">
      <c r="A32" s="288"/>
      <c r="B32" s="299"/>
      <c r="C32" s="288"/>
      <c r="D32" s="288"/>
      <c r="E32" s="288"/>
      <c r="F32" s="288"/>
      <c r="G32" s="288"/>
    </row>
    <row r="33" spans="1:7" ht="20" customHeight="1">
      <c r="A33" s="288"/>
      <c r="B33" s="299"/>
      <c r="C33" s="288"/>
      <c r="D33" s="288"/>
      <c r="E33" s="288"/>
      <c r="F33" s="288"/>
      <c r="G33" s="288"/>
    </row>
    <row r="34" spans="1:7" ht="20" customHeight="1">
      <c r="A34" s="288"/>
      <c r="B34" s="299"/>
      <c r="C34" s="288"/>
      <c r="D34" s="288"/>
      <c r="E34" s="288"/>
      <c r="F34" s="288"/>
      <c r="G34" s="288"/>
    </row>
    <row r="35" spans="1:7" ht="20" customHeight="1">
      <c r="A35" s="288"/>
      <c r="B35" s="299"/>
      <c r="C35" s="288"/>
      <c r="D35" s="288"/>
      <c r="E35" s="288"/>
      <c r="F35" s="288"/>
      <c r="G35" s="288"/>
    </row>
    <row r="36" spans="1:7" ht="20" customHeight="1">
      <c r="A36" s="288"/>
      <c r="B36" s="299"/>
      <c r="C36" s="288"/>
      <c r="D36" s="288"/>
      <c r="E36" s="288"/>
      <c r="F36" s="288"/>
      <c r="G36" s="288"/>
    </row>
    <row r="37" spans="1:7" ht="20" customHeight="1">
      <c r="A37" s="288"/>
      <c r="B37" s="299"/>
      <c r="C37" s="288"/>
      <c r="D37" s="288"/>
      <c r="E37" s="288"/>
      <c r="F37" s="288"/>
      <c r="G37" s="288"/>
    </row>
    <row r="38" spans="1:7" ht="20" customHeight="1">
      <c r="A38" s="288"/>
      <c r="B38" s="299"/>
      <c r="C38" s="288"/>
      <c r="D38" s="288"/>
      <c r="E38" s="288"/>
      <c r="F38" s="288"/>
      <c r="G38" s="288"/>
    </row>
    <row r="39" spans="1:7" ht="20" customHeight="1">
      <c r="A39" s="288"/>
      <c r="B39" s="299"/>
      <c r="C39" s="288"/>
      <c r="D39" s="288"/>
      <c r="E39" s="288"/>
      <c r="F39" s="288"/>
      <c r="G39" s="288"/>
    </row>
    <row r="40" spans="1:7" ht="20" customHeight="1">
      <c r="A40" s="288"/>
      <c r="B40" s="299"/>
      <c r="C40" s="288"/>
      <c r="D40" s="288"/>
      <c r="E40" s="288"/>
      <c r="F40" s="288"/>
      <c r="G40" s="288"/>
    </row>
    <row r="41" spans="1:7" ht="20" customHeight="1">
      <c r="A41" s="288"/>
      <c r="B41" s="299"/>
      <c r="C41" s="288"/>
      <c r="D41" s="288"/>
      <c r="E41" s="288"/>
      <c r="F41" s="288"/>
      <c r="G41" s="288"/>
    </row>
    <row r="42" spans="1:7" ht="20" customHeight="1">
      <c r="A42" s="288"/>
      <c r="B42" s="299"/>
      <c r="C42" s="288"/>
      <c r="D42" s="288"/>
      <c r="E42" s="288"/>
      <c r="F42" s="288"/>
      <c r="G42" s="288"/>
    </row>
    <row r="43" spans="1:7" ht="20" customHeight="1">
      <c r="A43" s="288"/>
      <c r="B43" s="299"/>
      <c r="C43" s="288"/>
      <c r="D43" s="288"/>
      <c r="E43" s="288"/>
      <c r="F43" s="288"/>
      <c r="G43" s="288"/>
    </row>
    <row r="44" spans="1:7" ht="20" customHeight="1">
      <c r="A44" s="288"/>
      <c r="B44" s="299"/>
      <c r="C44" s="288"/>
      <c r="D44" s="288"/>
      <c r="E44" s="288"/>
      <c r="F44" s="288"/>
      <c r="G44" s="288"/>
    </row>
    <row r="45" spans="1:7" ht="20" customHeight="1">
      <c r="A45" s="288"/>
      <c r="B45" s="299"/>
      <c r="C45" s="288"/>
      <c r="D45" s="288"/>
      <c r="E45" s="288"/>
      <c r="F45" s="288"/>
      <c r="G45" s="288"/>
    </row>
    <row r="46" spans="1:7" ht="20" customHeight="1">
      <c r="A46" s="288"/>
      <c r="B46" s="299"/>
      <c r="C46" s="288"/>
      <c r="D46" s="288"/>
      <c r="E46" s="288"/>
      <c r="F46" s="288"/>
      <c r="G46" s="288"/>
    </row>
    <row r="47" spans="1:7" ht="20" customHeight="1">
      <c r="A47" s="288"/>
      <c r="B47" s="299"/>
      <c r="C47" s="288"/>
      <c r="D47" s="288"/>
      <c r="E47" s="288"/>
      <c r="F47" s="288"/>
      <c r="G47" s="288"/>
    </row>
    <row r="48" spans="1:7" ht="20" customHeight="1">
      <c r="A48" s="288"/>
      <c r="B48" s="299"/>
      <c r="C48" s="288"/>
      <c r="D48" s="288"/>
      <c r="E48" s="288"/>
      <c r="F48" s="288"/>
      <c r="G48" s="288"/>
    </row>
    <row r="49" spans="1:7" ht="20" customHeight="1">
      <c r="A49" s="288"/>
      <c r="B49" s="299"/>
      <c r="C49" s="288"/>
      <c r="D49" s="288"/>
      <c r="E49" s="288"/>
      <c r="F49" s="288"/>
      <c r="G49" s="288"/>
    </row>
    <row r="50" spans="1:7" ht="20" customHeight="1">
      <c r="A50" s="288"/>
      <c r="B50" s="299"/>
      <c r="C50" s="288"/>
      <c r="D50" s="288"/>
      <c r="E50" s="288"/>
      <c r="F50" s="288"/>
      <c r="G50" s="288"/>
    </row>
    <row r="51" spans="1:7" ht="20" customHeight="1">
      <c r="A51" s="288"/>
      <c r="B51" s="299"/>
      <c r="C51" s="288"/>
      <c r="D51" s="288"/>
      <c r="E51" s="288"/>
      <c r="F51" s="288"/>
      <c r="G51" s="288"/>
    </row>
    <row r="52" spans="1:7" ht="20" customHeight="1">
      <c r="A52" s="288"/>
      <c r="B52" s="299"/>
      <c r="C52" s="288"/>
      <c r="D52" s="288"/>
      <c r="E52" s="288"/>
      <c r="F52" s="288"/>
      <c r="G52" s="288"/>
    </row>
    <row r="53" spans="1:7" ht="20" customHeight="1">
      <c r="A53" s="288"/>
      <c r="B53" s="299"/>
      <c r="C53" s="288"/>
      <c r="D53" s="288"/>
      <c r="E53" s="288"/>
      <c r="F53" s="288"/>
      <c r="G53" s="288"/>
    </row>
    <row r="54" spans="1:7" ht="20" customHeight="1">
      <c r="A54" s="288"/>
      <c r="B54" s="300"/>
      <c r="C54" s="288"/>
      <c r="D54" s="288"/>
      <c r="E54" s="288"/>
      <c r="F54" s="288"/>
      <c r="G54" s="288"/>
    </row>
    <row r="55" spans="1:7" ht="20" customHeight="1"/>
    <row r="56" spans="1:7" ht="20" customHeight="1"/>
    <row r="57" spans="1:7" ht="20" customHeight="1"/>
    <row r="58" spans="1:7" ht="20" customHeight="1"/>
    <row r="59" spans="1:7" ht="20" customHeight="1"/>
    <row r="60" spans="1:7" ht="20" customHeight="1"/>
    <row r="61" spans="1:7" ht="20" customHeight="1"/>
    <row r="62" spans="1:7" ht="20" customHeight="1"/>
    <row r="63" spans="1:7" ht="20" customHeight="1"/>
    <row r="64" spans="1:7"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sheetData>
  <sheetProtection formatCells="0" formatColumns="0" formatRows="0" selectLockedCells="1" sort="0" autoFilter="0" pivotTables="0"/>
  <mergeCells count="22">
    <mergeCell ref="B14:C14"/>
    <mergeCell ref="D14:E14"/>
    <mergeCell ref="B15:C15"/>
    <mergeCell ref="D15:E15"/>
    <mergeCell ref="B11:C11"/>
    <mergeCell ref="D11:E11"/>
    <mergeCell ref="B12:C12"/>
    <mergeCell ref="D12:E12"/>
    <mergeCell ref="B13:C13"/>
    <mergeCell ref="D13:E13"/>
    <mergeCell ref="B21:C21"/>
    <mergeCell ref="D21:E21"/>
    <mergeCell ref="B16:C16"/>
    <mergeCell ref="D16:E16"/>
    <mergeCell ref="B17:C17"/>
    <mergeCell ref="D17:E17"/>
    <mergeCell ref="B18:C18"/>
    <mergeCell ref="D18:E18"/>
    <mergeCell ref="B19:C19"/>
    <mergeCell ref="D19:E19"/>
    <mergeCell ref="B20:C20"/>
    <mergeCell ref="D20:E20"/>
  </mergeCells>
  <phoneticPr fontId="31" type="noConversion"/>
  <conditionalFormatting sqref="B10:G10">
    <cfRule type="expression" dxfId="1120" priority="1">
      <formula>B$10=""</formula>
    </cfRule>
  </conditionalFormatting>
  <dataValidations count="4">
    <dataValidation type="list" allowBlank="1" showInputMessage="1" showErrorMessage="1" sqref="F12:F21" xr:uid="{583E18CA-8085-47EC-AD16-4F38355DBCE0}">
      <formula1>Format</formula1>
    </dataValidation>
    <dataValidation type="list" allowBlank="1" showInputMessage="1" showErrorMessage="1" sqref="G12:G21" xr:uid="{52943110-34DB-4AB2-A71D-517890A5419D}">
      <formula1>Direction</formula1>
    </dataValidation>
    <dataValidation type="list" allowBlank="1" showInputMessage="1" showErrorMessage="1" sqref="H12:H21" xr:uid="{F5D2C564-3455-485D-BBB6-7D7BF001D9F0}">
      <formula1>expression</formula1>
    </dataValidation>
    <dataValidation type="list" allowBlank="1" showInputMessage="1" showErrorMessage="1" sqref="D12:E21" xr:uid="{17CFBB6D-F11F-47BC-9375-C3885B90FC5F}">
      <formula1>DRangeAreas</formula1>
    </dataValidation>
  </dataValidations>
  <hyperlinks>
    <hyperlink ref="B10" location="'O1'!A1" display="'O1'!A1" xr:uid="{B3C3B9C4-21B1-4EBB-B049-CF8F86AAB6A6}"/>
    <hyperlink ref="C10" location="'O2'!A1" display="'O2'!A1" xr:uid="{9A4536B0-7F33-42C9-A8BE-B9B158AB7326}"/>
    <hyperlink ref="D10" location="'O3'!A1" display="'O3'!A1" xr:uid="{9604C22F-F7B4-4F85-98FB-0C2F86496D41}"/>
    <hyperlink ref="E10" location="'O4'!A1" display="'O4'!A1" xr:uid="{9D4D6A6F-5588-4C85-8970-9E6D1AA931D1}"/>
    <hyperlink ref="F10" location="'O5'!A1" display="'O5'!A1" xr:uid="{F64BAA2A-4AF0-4555-8C18-6853D74695F0}"/>
    <hyperlink ref="G10" location="'O6'!A1" display="'O6'!A1" xr:uid="{410F93A1-2D6F-4C6F-B6AC-B21138078DA9}"/>
  </hyperlinks>
  <pageMargins left="0.25" right="0.25" top="0.75" bottom="0.75" header="0.3" footer="0.3"/>
  <pageSetup scale="58"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3E8A3-B132-49A7-ADDA-7939B060252F}">
  <dimension ref="A1:S87"/>
  <sheetViews>
    <sheetView showGridLines="0" showRowColHeaders="0" zoomScaleNormal="100" workbookViewId="0"/>
  </sheetViews>
  <sheetFormatPr baseColWidth="10" defaultColWidth="11.5" defaultRowHeight="15"/>
  <cols>
    <col min="1" max="1" width="2.6640625" style="290" customWidth="1"/>
    <col min="2" max="5" width="32.6640625" style="290" customWidth="1"/>
    <col min="6" max="7" width="20.6640625" style="290" customWidth="1"/>
    <col min="8" max="8" width="20.6640625" style="295" customWidth="1"/>
    <col min="9" max="16384" width="11.5" style="290"/>
  </cols>
  <sheetData>
    <row r="1" spans="1:19" s="268" customFormat="1" ht="39" customHeight="1">
      <c r="A1" s="266"/>
      <c r="B1" s="266"/>
      <c r="C1" s="266"/>
      <c r="D1" s="266"/>
      <c r="E1" s="266"/>
      <c r="F1" s="266"/>
      <c r="G1" s="266"/>
      <c r="H1" s="329"/>
      <c r="I1" s="266"/>
      <c r="J1" s="266"/>
      <c r="K1" s="266"/>
      <c r="L1" s="266"/>
      <c r="M1" s="266"/>
      <c r="N1" s="266"/>
      <c r="O1" s="266"/>
      <c r="P1" s="266"/>
      <c r="Q1" s="266"/>
      <c r="R1" s="266"/>
      <c r="S1" s="266"/>
    </row>
    <row r="2" spans="1:19" s="312" customFormat="1" ht="25" customHeight="1">
      <c r="H2" s="330"/>
    </row>
    <row r="3" spans="1:19" s="331" customFormat="1" ht="18" customHeight="1">
      <c r="H3" s="332"/>
    </row>
    <row r="4" spans="1:19" s="331" customFormat="1" ht="18" customHeight="1">
      <c r="H4" s="332"/>
    </row>
    <row r="5" spans="1:19" s="287" customFormat="1" ht="20" customHeight="1">
      <c r="H5" s="324"/>
    </row>
    <row r="6" spans="1:19" ht="20" customHeight="1">
      <c r="A6" s="288"/>
      <c r="B6" s="288"/>
      <c r="C6" s="288"/>
      <c r="D6" s="288"/>
      <c r="E6" s="288"/>
      <c r="F6" s="288"/>
      <c r="G6" s="288"/>
    </row>
    <row r="7" spans="1:19" ht="20" customHeight="1">
      <c r="A7" s="288"/>
      <c r="B7" s="303" t="str">
        <f>Lan!F43&amp;" - "&amp; Goals!C17</f>
        <v>2.3. Objetivos - Desarrollar y fidelizar al talento humano de la empresa.</v>
      </c>
      <c r="C7" s="303"/>
      <c r="D7" s="303"/>
      <c r="E7" s="303"/>
      <c r="F7" s="92"/>
      <c r="G7" s="92"/>
      <c r="H7" s="333"/>
    </row>
    <row r="8" spans="1:19" ht="20" customHeight="1">
      <c r="A8" s="288"/>
      <c r="B8" s="350" t="str">
        <f>Lan!F44</f>
        <v>Los objetivos proporcionan hitos específicos con un cronograma específico para lograr una meta.</v>
      </c>
      <c r="C8" s="92"/>
      <c r="D8" s="92"/>
      <c r="E8" s="92"/>
      <c r="F8" s="92"/>
      <c r="G8" s="92"/>
      <c r="H8" s="333"/>
    </row>
    <row r="9" spans="1:19" ht="20" customHeight="1" thickBot="1">
      <c r="A9" s="288"/>
      <c r="B9" s="92"/>
      <c r="C9" s="92"/>
      <c r="D9" s="92"/>
      <c r="E9" s="92"/>
      <c r="F9" s="92"/>
      <c r="G9" s="92"/>
      <c r="H9" s="333"/>
    </row>
    <row r="10" spans="1:19" s="338" customFormat="1" ht="20" customHeight="1" thickTop="1" thickBot="1">
      <c r="B10" s="419" t="str">
        <f>IF(Goals!$C$12="","",Goals!$B$12)</f>
        <v>Meta 1</v>
      </c>
      <c r="C10" s="419" t="str">
        <f>IF(Goals!$C$13="","",Goals!$B$13)</f>
        <v>Meta 2</v>
      </c>
      <c r="D10" s="419" t="str">
        <f>IF(Goals!$C$14="","",Goals!$B$14)</f>
        <v>Meta 3</v>
      </c>
      <c r="E10" s="419" t="str">
        <f>IF(Goals!$C$15="","",Goals!$B$15)</f>
        <v>Meta 4</v>
      </c>
      <c r="F10" s="419" t="str">
        <f>IF(Goals!$C$16="","",Goals!$B$16)</f>
        <v>Meta 5</v>
      </c>
      <c r="G10" s="420" t="str">
        <f>IF(Goals!$C$17="","",Goals!$B$17)</f>
        <v>Meta 6</v>
      </c>
      <c r="H10" s="351"/>
    </row>
    <row r="11" spans="1:19" ht="30" customHeight="1" thickTop="1" thickBot="1">
      <c r="A11" s="288"/>
      <c r="B11" s="496" t="str">
        <f>Lan!F45</f>
        <v>Objetivos</v>
      </c>
      <c r="C11" s="496"/>
      <c r="D11" s="496" t="str">
        <f>SA!C10</f>
        <v>Áreas estratégicas</v>
      </c>
      <c r="E11" s="496"/>
      <c r="F11" s="347" t="str">
        <f>Lan!F47</f>
        <v>Formato</v>
      </c>
      <c r="G11" s="347" t="str">
        <f>Lan!F48</f>
        <v>Mejor dirección</v>
      </c>
      <c r="H11" s="348" t="str">
        <f>Lan!F59</f>
        <v>Expresiones</v>
      </c>
    </row>
    <row r="12" spans="1:19" ht="30" customHeight="1">
      <c r="A12" s="288"/>
      <c r="B12" s="489" t="s">
        <v>348</v>
      </c>
      <c r="C12" s="490"/>
      <c r="D12" s="483" t="s">
        <v>331</v>
      </c>
      <c r="E12" s="484"/>
      <c r="F12" s="90" t="s">
        <v>70</v>
      </c>
      <c r="G12" s="90" t="s">
        <v>71</v>
      </c>
      <c r="H12" s="213" t="s">
        <v>219</v>
      </c>
    </row>
    <row r="13" spans="1:19" ht="30" customHeight="1">
      <c r="A13" s="288"/>
      <c r="B13" s="489" t="s">
        <v>349</v>
      </c>
      <c r="C13" s="490"/>
      <c r="D13" s="483" t="s">
        <v>331</v>
      </c>
      <c r="E13" s="484"/>
      <c r="F13" s="91" t="s">
        <v>63</v>
      </c>
      <c r="G13" s="90" t="s">
        <v>71</v>
      </c>
      <c r="H13" s="213" t="s">
        <v>220</v>
      </c>
    </row>
    <row r="14" spans="1:19" ht="30" customHeight="1">
      <c r="A14" s="288"/>
      <c r="B14" s="489"/>
      <c r="C14" s="490"/>
      <c r="D14" s="491"/>
      <c r="E14" s="492"/>
      <c r="F14" s="339"/>
      <c r="G14" s="339"/>
      <c r="H14" s="340"/>
    </row>
    <row r="15" spans="1:19" ht="30" customHeight="1">
      <c r="A15" s="288"/>
      <c r="B15" s="489"/>
      <c r="C15" s="490"/>
      <c r="D15" s="491"/>
      <c r="E15" s="492"/>
      <c r="F15" s="339"/>
      <c r="G15" s="339"/>
      <c r="H15" s="340"/>
    </row>
    <row r="16" spans="1:19" ht="30" customHeight="1">
      <c r="A16" s="288"/>
      <c r="B16" s="489"/>
      <c r="C16" s="490"/>
      <c r="D16" s="491"/>
      <c r="E16" s="492"/>
      <c r="F16" s="339"/>
      <c r="G16" s="339"/>
      <c r="H16" s="340"/>
    </row>
    <row r="17" spans="1:9" ht="30" customHeight="1">
      <c r="A17" s="288"/>
      <c r="B17" s="489"/>
      <c r="C17" s="490"/>
      <c r="D17" s="491"/>
      <c r="E17" s="492"/>
      <c r="F17" s="339"/>
      <c r="G17" s="339"/>
      <c r="H17" s="340"/>
    </row>
    <row r="18" spans="1:9" ht="30" customHeight="1">
      <c r="A18" s="288"/>
      <c r="B18" s="489"/>
      <c r="C18" s="490"/>
      <c r="D18" s="491"/>
      <c r="E18" s="492"/>
      <c r="F18" s="339"/>
      <c r="G18" s="339"/>
      <c r="H18" s="340"/>
    </row>
    <row r="19" spans="1:9" ht="30" customHeight="1">
      <c r="A19" s="288"/>
      <c r="B19" s="489"/>
      <c r="C19" s="490"/>
      <c r="D19" s="491"/>
      <c r="E19" s="492"/>
      <c r="F19" s="339"/>
      <c r="G19" s="339"/>
      <c r="H19" s="340"/>
    </row>
    <row r="20" spans="1:9" ht="30" customHeight="1">
      <c r="A20" s="288"/>
      <c r="B20" s="489"/>
      <c r="C20" s="490"/>
      <c r="D20" s="491"/>
      <c r="E20" s="492"/>
      <c r="F20" s="339"/>
      <c r="G20" s="339"/>
      <c r="H20" s="340"/>
    </row>
    <row r="21" spans="1:9" ht="30" customHeight="1">
      <c r="A21" s="288"/>
      <c r="B21" s="489"/>
      <c r="C21" s="490"/>
      <c r="D21" s="491"/>
      <c r="E21" s="492"/>
      <c r="F21" s="339"/>
      <c r="G21" s="341"/>
      <c r="H21" s="340"/>
      <c r="I21" s="316"/>
    </row>
    <row r="22" spans="1:9" ht="20" customHeight="1">
      <c r="A22" s="288"/>
      <c r="B22" s="326"/>
      <c r="C22" s="326"/>
      <c r="D22" s="326"/>
      <c r="E22" s="326"/>
      <c r="F22" s="326"/>
      <c r="G22" s="326"/>
      <c r="H22" s="349"/>
      <c r="I22" s="316"/>
    </row>
    <row r="23" spans="1:9" ht="20" customHeight="1">
      <c r="A23" s="288"/>
      <c r="B23" s="311"/>
      <c r="C23" s="311"/>
      <c r="D23" s="311"/>
      <c r="E23" s="311"/>
      <c r="F23" s="311"/>
      <c r="G23" s="311"/>
      <c r="H23" s="327"/>
      <c r="I23" s="316"/>
    </row>
    <row r="24" spans="1:9" ht="20" customHeight="1">
      <c r="A24" s="288"/>
      <c r="B24" s="299"/>
      <c r="C24" s="288"/>
      <c r="D24" s="288"/>
      <c r="E24" s="288"/>
      <c r="F24" s="288"/>
      <c r="G24" s="288"/>
      <c r="H24" s="327"/>
      <c r="I24" s="316"/>
    </row>
    <row r="25" spans="1:9" ht="20" customHeight="1">
      <c r="A25" s="288"/>
      <c r="B25" s="299"/>
      <c r="C25" s="288"/>
      <c r="D25" s="288"/>
      <c r="E25" s="288"/>
      <c r="F25" s="288"/>
      <c r="G25" s="288"/>
      <c r="H25" s="327"/>
      <c r="I25" s="316"/>
    </row>
    <row r="26" spans="1:9" ht="20" customHeight="1">
      <c r="A26" s="288"/>
      <c r="B26" s="299"/>
      <c r="C26" s="288"/>
      <c r="D26" s="288"/>
      <c r="E26" s="288"/>
      <c r="F26" s="288"/>
      <c r="G26" s="288"/>
    </row>
    <row r="27" spans="1:9" ht="20" customHeight="1">
      <c r="A27" s="288"/>
      <c r="B27" s="299"/>
      <c r="C27" s="288"/>
      <c r="D27" s="288"/>
      <c r="E27" s="288"/>
      <c r="F27" s="288"/>
      <c r="G27" s="288"/>
      <c r="H27" s="328"/>
      <c r="I27" s="310"/>
    </row>
    <row r="28" spans="1:9" ht="20" customHeight="1">
      <c r="A28" s="288"/>
      <c r="B28" s="299"/>
      <c r="C28" s="288"/>
      <c r="D28" s="288"/>
      <c r="E28" s="288"/>
      <c r="F28" s="288"/>
      <c r="G28" s="288"/>
    </row>
    <row r="29" spans="1:9" ht="20" customHeight="1">
      <c r="A29" s="288"/>
      <c r="B29" s="299"/>
      <c r="C29" s="288"/>
      <c r="D29" s="288"/>
      <c r="E29" s="288"/>
      <c r="F29" s="288"/>
      <c r="G29" s="288"/>
    </row>
    <row r="30" spans="1:9" ht="20" customHeight="1">
      <c r="A30" s="288"/>
      <c r="B30" s="299"/>
      <c r="C30" s="288"/>
      <c r="D30" s="288"/>
      <c r="E30" s="288"/>
      <c r="F30" s="288"/>
      <c r="G30" s="288"/>
    </row>
    <row r="31" spans="1:9" ht="20" customHeight="1">
      <c r="A31" s="288"/>
      <c r="B31" s="299"/>
      <c r="C31" s="288"/>
      <c r="D31" s="288"/>
      <c r="E31" s="288"/>
      <c r="F31" s="288"/>
      <c r="G31" s="288"/>
    </row>
    <row r="32" spans="1:9" ht="20" customHeight="1">
      <c r="A32" s="288"/>
      <c r="B32" s="299"/>
      <c r="C32" s="288"/>
      <c r="D32" s="288"/>
      <c r="E32" s="288"/>
      <c r="F32" s="288"/>
      <c r="G32" s="288"/>
    </row>
    <row r="33" spans="1:7" ht="20" customHeight="1">
      <c r="A33" s="288"/>
      <c r="B33" s="299"/>
      <c r="C33" s="288"/>
      <c r="D33" s="288"/>
      <c r="E33" s="288"/>
      <c r="F33" s="288"/>
      <c r="G33" s="288"/>
    </row>
    <row r="34" spans="1:7" ht="20" customHeight="1">
      <c r="A34" s="288"/>
      <c r="B34" s="299"/>
      <c r="C34" s="288"/>
      <c r="D34" s="288"/>
      <c r="E34" s="288"/>
      <c r="F34" s="288"/>
      <c r="G34" s="288"/>
    </row>
    <row r="35" spans="1:7" ht="20" customHeight="1">
      <c r="A35" s="288"/>
      <c r="B35" s="299"/>
      <c r="C35" s="288"/>
      <c r="D35" s="288"/>
      <c r="E35" s="288"/>
      <c r="F35" s="288"/>
      <c r="G35" s="288"/>
    </row>
    <row r="36" spans="1:7" ht="20" customHeight="1">
      <c r="A36" s="288"/>
      <c r="B36" s="299"/>
      <c r="C36" s="288"/>
      <c r="D36" s="288"/>
      <c r="E36" s="288"/>
      <c r="F36" s="288"/>
      <c r="G36" s="288"/>
    </row>
    <row r="37" spans="1:7" ht="20" customHeight="1">
      <c r="A37" s="288"/>
      <c r="B37" s="299"/>
      <c r="C37" s="288"/>
      <c r="D37" s="288"/>
      <c r="E37" s="288"/>
      <c r="F37" s="288"/>
      <c r="G37" s="288"/>
    </row>
    <row r="38" spans="1:7" ht="20" customHeight="1">
      <c r="A38" s="288"/>
      <c r="B38" s="299"/>
      <c r="C38" s="288"/>
      <c r="D38" s="288"/>
      <c r="E38" s="288"/>
      <c r="F38" s="288"/>
      <c r="G38" s="288"/>
    </row>
    <row r="39" spans="1:7" ht="20" customHeight="1">
      <c r="A39" s="288"/>
      <c r="B39" s="299"/>
      <c r="C39" s="288"/>
      <c r="D39" s="288"/>
      <c r="E39" s="288"/>
      <c r="F39" s="288"/>
      <c r="G39" s="288"/>
    </row>
    <row r="40" spans="1:7" ht="20" customHeight="1">
      <c r="A40" s="288"/>
      <c r="B40" s="299"/>
      <c r="C40" s="288"/>
      <c r="D40" s="288"/>
      <c r="E40" s="288"/>
      <c r="F40" s="288"/>
      <c r="G40" s="288"/>
    </row>
    <row r="41" spans="1:7" ht="20" customHeight="1">
      <c r="A41" s="288"/>
      <c r="B41" s="299"/>
      <c r="C41" s="288"/>
      <c r="D41" s="288"/>
      <c r="E41" s="288"/>
      <c r="F41" s="288"/>
      <c r="G41" s="288"/>
    </row>
    <row r="42" spans="1:7" ht="20" customHeight="1">
      <c r="A42" s="288"/>
      <c r="B42" s="299"/>
      <c r="C42" s="288"/>
      <c r="D42" s="288"/>
      <c r="E42" s="288"/>
      <c r="F42" s="288"/>
      <c r="G42" s="288"/>
    </row>
    <row r="43" spans="1:7" ht="20" customHeight="1">
      <c r="A43" s="288"/>
      <c r="B43" s="299"/>
      <c r="C43" s="288"/>
      <c r="D43" s="288"/>
      <c r="E43" s="288"/>
      <c r="F43" s="288"/>
      <c r="G43" s="288"/>
    </row>
    <row r="44" spans="1:7" ht="20" customHeight="1">
      <c r="A44" s="288"/>
      <c r="B44" s="299"/>
      <c r="C44" s="288"/>
      <c r="D44" s="288"/>
      <c r="E44" s="288"/>
      <c r="F44" s="288"/>
      <c r="G44" s="288"/>
    </row>
    <row r="45" spans="1:7" ht="20" customHeight="1">
      <c r="A45" s="288"/>
      <c r="B45" s="299"/>
      <c r="C45" s="288"/>
      <c r="D45" s="288"/>
      <c r="E45" s="288"/>
      <c r="F45" s="288"/>
      <c r="G45" s="288"/>
    </row>
    <row r="46" spans="1:7" ht="20" customHeight="1">
      <c r="A46" s="288"/>
      <c r="B46" s="299"/>
      <c r="C46" s="288"/>
      <c r="D46" s="288"/>
      <c r="E46" s="288"/>
      <c r="F46" s="288"/>
      <c r="G46" s="288"/>
    </row>
    <row r="47" spans="1:7" ht="20" customHeight="1">
      <c r="A47" s="288"/>
      <c r="B47" s="299"/>
      <c r="C47" s="288"/>
      <c r="D47" s="288"/>
      <c r="E47" s="288"/>
      <c r="F47" s="288"/>
      <c r="G47" s="288"/>
    </row>
    <row r="48" spans="1:7" ht="20" customHeight="1">
      <c r="A48" s="288"/>
      <c r="B48" s="299"/>
      <c r="C48" s="288"/>
      <c r="D48" s="288"/>
      <c r="E48" s="288"/>
      <c r="F48" s="288"/>
      <c r="G48" s="288"/>
    </row>
    <row r="49" spans="1:7" ht="20" customHeight="1">
      <c r="A49" s="288"/>
      <c r="B49" s="299"/>
      <c r="C49" s="288"/>
      <c r="D49" s="288"/>
      <c r="E49" s="288"/>
      <c r="F49" s="288"/>
      <c r="G49" s="288"/>
    </row>
    <row r="50" spans="1:7" ht="20" customHeight="1">
      <c r="A50" s="288"/>
      <c r="B50" s="299"/>
      <c r="C50" s="288"/>
      <c r="D50" s="288"/>
      <c r="E50" s="288"/>
      <c r="F50" s="288"/>
      <c r="G50" s="288"/>
    </row>
    <row r="51" spans="1:7" ht="20" customHeight="1">
      <c r="A51" s="288"/>
      <c r="B51" s="299"/>
      <c r="C51" s="288"/>
      <c r="D51" s="288"/>
      <c r="E51" s="288"/>
      <c r="F51" s="288"/>
      <c r="G51" s="288"/>
    </row>
    <row r="52" spans="1:7" ht="20" customHeight="1">
      <c r="A52" s="288"/>
      <c r="B52" s="299"/>
      <c r="C52" s="288"/>
      <c r="D52" s="288"/>
      <c r="E52" s="288"/>
      <c r="F52" s="288"/>
      <c r="G52" s="288"/>
    </row>
    <row r="53" spans="1:7" ht="20" customHeight="1">
      <c r="A53" s="288"/>
      <c r="B53" s="299"/>
      <c r="C53" s="288"/>
      <c r="D53" s="288"/>
      <c r="E53" s="288"/>
      <c r="F53" s="288"/>
      <c r="G53" s="288"/>
    </row>
    <row r="54" spans="1:7" ht="20" customHeight="1">
      <c r="A54" s="288"/>
      <c r="B54" s="300"/>
      <c r="C54" s="288"/>
      <c r="D54" s="288"/>
      <c r="E54" s="288"/>
      <c r="F54" s="288"/>
      <c r="G54" s="288"/>
    </row>
    <row r="55" spans="1:7" ht="20" customHeight="1"/>
    <row r="56" spans="1:7" ht="20" customHeight="1"/>
    <row r="57" spans="1:7" ht="20" customHeight="1"/>
    <row r="58" spans="1:7" ht="20" customHeight="1"/>
    <row r="59" spans="1:7" ht="20" customHeight="1"/>
    <row r="60" spans="1:7" ht="20" customHeight="1"/>
    <row r="61" spans="1:7" ht="20" customHeight="1"/>
    <row r="62" spans="1:7" ht="20" customHeight="1"/>
    <row r="63" spans="1:7" ht="20" customHeight="1"/>
    <row r="64" spans="1:7"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sheetData>
  <sheetProtection formatCells="0" formatColumns="0" formatRows="0" selectLockedCells="1" sort="0" autoFilter="0" pivotTables="0"/>
  <mergeCells count="22">
    <mergeCell ref="D13:E13"/>
    <mergeCell ref="D14:E14"/>
    <mergeCell ref="D15:E15"/>
    <mergeCell ref="B11:C11"/>
    <mergeCell ref="D11:E11"/>
    <mergeCell ref="D12:E12"/>
    <mergeCell ref="B12:C12"/>
    <mergeCell ref="B13:C13"/>
    <mergeCell ref="B14:C14"/>
    <mergeCell ref="B15:C15"/>
    <mergeCell ref="B20:C20"/>
    <mergeCell ref="D20:E20"/>
    <mergeCell ref="B21:C21"/>
    <mergeCell ref="D21:E21"/>
    <mergeCell ref="D16:E16"/>
    <mergeCell ref="D17:E17"/>
    <mergeCell ref="D18:E18"/>
    <mergeCell ref="D19:E19"/>
    <mergeCell ref="B18:C18"/>
    <mergeCell ref="B19:C19"/>
    <mergeCell ref="B16:C16"/>
    <mergeCell ref="B17:C17"/>
  </mergeCells>
  <phoneticPr fontId="31" type="noConversion"/>
  <conditionalFormatting sqref="B10:G10">
    <cfRule type="expression" dxfId="1119" priority="1">
      <formula>B$10=""</formula>
    </cfRule>
  </conditionalFormatting>
  <dataValidations count="4">
    <dataValidation type="list" allowBlank="1" showInputMessage="1" showErrorMessage="1" sqref="H12:H21" xr:uid="{BF92B47C-EA41-4401-A862-652CC7BAD582}">
      <formula1>expression</formula1>
    </dataValidation>
    <dataValidation type="list" allowBlank="1" showInputMessage="1" showErrorMessage="1" sqref="G12:G21" xr:uid="{072A6E64-F8CC-427E-BE21-CE73A0DD4E60}">
      <formula1>Direction</formula1>
    </dataValidation>
    <dataValidation type="list" allowBlank="1" showInputMessage="1" showErrorMessage="1" sqref="F12:F21" xr:uid="{909BF2A0-1160-44BA-A1B9-DEA7B57C34A8}">
      <formula1>Format</formula1>
    </dataValidation>
    <dataValidation type="list" allowBlank="1" showInputMessage="1" showErrorMessage="1" sqref="D12:E21" xr:uid="{6AE80037-B5B5-481E-A22A-0BC746A640EB}">
      <formula1>DRangeAreas</formula1>
    </dataValidation>
  </dataValidations>
  <hyperlinks>
    <hyperlink ref="B10" location="'O1'!A1" display="'O1'!A1" xr:uid="{2EAD434E-472D-40EA-9061-5B3E29A74C29}"/>
    <hyperlink ref="C10" location="'O2'!A1" display="'O2'!A1" xr:uid="{E05D4A59-0A18-4495-8437-959C01573AEF}"/>
    <hyperlink ref="D10" location="'O3'!A1" display="'O3'!A1" xr:uid="{F18C73DC-D30C-40D2-A06C-0B53EE61E2D1}"/>
    <hyperlink ref="E10" location="'O4'!A1" display="'O4'!A1" xr:uid="{9D0F81C1-BE86-4334-9A59-0CD6C88987E5}"/>
    <hyperlink ref="F10" location="'O5'!A1" display="'O5'!A1" xr:uid="{79BBAC39-1C65-4D48-AACF-69801CF0042B}"/>
    <hyperlink ref="G10" location="'O6'!A1" display="'O6'!A1" xr:uid="{11628168-5E7C-4B54-85D2-8F715900EE53}"/>
  </hyperlinks>
  <pageMargins left="0.25" right="0.25" top="0.75" bottom="0.75" header="0.3" footer="0.3"/>
  <pageSetup scale="58"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8C9DE-495F-4A95-9BA7-6AF74D40FA7D}">
  <sheetPr codeName="Feuil9"/>
  <dimension ref="A1:U87"/>
  <sheetViews>
    <sheetView showGridLines="0" showRowColHeaders="0" zoomScaleNormal="100" workbookViewId="0"/>
  </sheetViews>
  <sheetFormatPr baseColWidth="10" defaultColWidth="11.5" defaultRowHeight="15"/>
  <cols>
    <col min="1" max="1" width="2.6640625" style="290" customWidth="1"/>
    <col min="2" max="2" width="16.6640625" style="357" customWidth="1"/>
    <col min="3" max="18" width="16.6640625" style="290" customWidth="1"/>
    <col min="19" max="19" width="1.5" style="290" customWidth="1"/>
    <col min="20" max="21" width="11.5" style="290" hidden="1" customWidth="1"/>
    <col min="22" max="22" width="0" style="290" hidden="1" customWidth="1"/>
    <col min="23" max="16384" width="11.5" style="290"/>
  </cols>
  <sheetData>
    <row r="1" spans="1:21" s="249" customFormat="1" ht="39" customHeight="1">
      <c r="A1" s="248"/>
      <c r="B1" s="352"/>
      <c r="C1" s="248"/>
      <c r="D1" s="248"/>
      <c r="E1" s="248"/>
      <c r="F1" s="248"/>
      <c r="G1" s="248"/>
      <c r="H1" s="248"/>
      <c r="I1" s="248"/>
      <c r="J1" s="248"/>
      <c r="K1" s="248"/>
      <c r="L1" s="248"/>
      <c r="M1" s="248"/>
      <c r="N1" s="248"/>
      <c r="O1" s="248"/>
      <c r="P1" s="248"/>
      <c r="Q1" s="248"/>
      <c r="R1" s="248"/>
      <c r="S1" s="248"/>
    </row>
    <row r="2" spans="1:21" s="308" customFormat="1" ht="25" customHeight="1">
      <c r="B2" s="353"/>
    </row>
    <row r="3" spans="1:21" s="287" customFormat="1" ht="18" customHeight="1">
      <c r="B3" s="354"/>
    </row>
    <row r="4" spans="1:21" s="287" customFormat="1" ht="18" customHeight="1">
      <c r="B4" s="354"/>
    </row>
    <row r="5" spans="1:21" s="287" customFormat="1" ht="20" customHeight="1">
      <c r="B5" s="354"/>
    </row>
    <row r="6" spans="1:21" ht="20" customHeight="1">
      <c r="A6" s="288"/>
      <c r="B6" s="355"/>
      <c r="C6" s="288"/>
      <c r="D6" s="288"/>
      <c r="E6" s="288"/>
      <c r="F6" s="288"/>
      <c r="G6" s="288"/>
      <c r="H6" s="288"/>
      <c r="I6" s="404"/>
    </row>
    <row r="7" spans="1:21" ht="20" customHeight="1">
      <c r="A7" s="288"/>
      <c r="B7" s="358" t="str">
        <f>Lan!F43&amp;" - "&amp;Goals!C12</f>
        <v>2.3. Objetivos - Expandir la presencia nacional de Caracolitos mediante la apertura de nuevas sucursales.</v>
      </c>
      <c r="C7" s="359"/>
      <c r="D7" s="359"/>
      <c r="E7" s="359"/>
      <c r="F7" s="359"/>
      <c r="G7" s="359"/>
      <c r="H7" s="360"/>
      <c r="I7" s="93"/>
      <c r="J7" s="93"/>
      <c r="K7" s="93"/>
      <c r="L7" s="93"/>
      <c r="M7" s="93"/>
      <c r="N7" s="93"/>
      <c r="O7" s="93"/>
      <c r="P7" s="93"/>
      <c r="Q7" s="93"/>
      <c r="R7" s="361"/>
    </row>
    <row r="8" spans="1:21" ht="20" customHeight="1">
      <c r="A8" s="288"/>
      <c r="B8" s="320" t="str">
        <f>Lan!F44</f>
        <v>Los objetivos proporcionan hitos específicos con un cronograma específico para lograr una meta.</v>
      </c>
      <c r="C8" s="92"/>
      <c r="D8" s="92"/>
      <c r="E8" s="92"/>
      <c r="F8" s="92"/>
      <c r="G8" s="92"/>
      <c r="H8" s="92"/>
      <c r="I8" s="93"/>
      <c r="J8" s="93"/>
      <c r="K8" s="93"/>
      <c r="L8" s="93"/>
      <c r="M8" s="93"/>
      <c r="N8" s="93"/>
      <c r="O8" s="93"/>
      <c r="P8" s="93"/>
      <c r="Q8" s="93"/>
      <c r="R8" s="93"/>
      <c r="T8" s="415">
        <f>Settings!E22</f>
        <v>0.9</v>
      </c>
      <c r="U8" s="93"/>
    </row>
    <row r="9" spans="1:21" ht="20" customHeight="1" thickBot="1">
      <c r="A9" s="288"/>
      <c r="B9" s="362"/>
      <c r="C9" s="92"/>
      <c r="D9" s="92"/>
      <c r="E9" s="92"/>
      <c r="F9" s="92"/>
      <c r="G9" s="92"/>
      <c r="H9" s="92"/>
      <c r="I9" s="93"/>
      <c r="J9" s="93"/>
      <c r="K9" s="93"/>
      <c r="L9" s="93"/>
      <c r="M9" s="93"/>
      <c r="N9" s="93"/>
      <c r="O9" s="93"/>
      <c r="P9" s="93"/>
      <c r="Q9" s="93"/>
      <c r="R9" s="93"/>
      <c r="T9" s="415"/>
      <c r="U9" s="93"/>
    </row>
    <row r="10" spans="1:21" s="325" customFormat="1" ht="20" customHeight="1" thickTop="1" thickBot="1">
      <c r="B10" s="420" t="str">
        <f>IF(Goals!$C$12="","",Goals!$B$12)</f>
        <v>Meta 1</v>
      </c>
      <c r="C10" s="419" t="str">
        <f>IF(Goals!$C$13="","",Goals!$B$13)</f>
        <v>Meta 2</v>
      </c>
      <c r="D10" s="419" t="str">
        <f>IF(Goals!$C$14="","",Goals!$B$14)</f>
        <v>Meta 3</v>
      </c>
      <c r="E10" s="419" t="str">
        <f>IF(Goals!$C$15="","",Goals!$B$15)</f>
        <v>Meta 4</v>
      </c>
      <c r="F10" s="419" t="str">
        <f>IF(Goals!$C$16="","",Goals!$B$16)</f>
        <v>Meta 5</v>
      </c>
      <c r="G10" s="419" t="str">
        <f>IF(Goals!$C$17="","",Goals!$B$17)</f>
        <v>Meta 6</v>
      </c>
      <c r="H10" s="363"/>
      <c r="I10" s="364"/>
      <c r="J10" s="364"/>
      <c r="K10" s="364"/>
      <c r="L10" s="364"/>
      <c r="M10" s="364"/>
      <c r="N10" s="364"/>
      <c r="O10" s="364"/>
      <c r="P10" s="364"/>
      <c r="Q10" s="364"/>
      <c r="R10" s="351"/>
      <c r="T10" s="417"/>
      <c r="U10" s="335"/>
    </row>
    <row r="11" spans="1:21" ht="30" customHeight="1" thickTop="1" thickBot="1">
      <c r="A11" s="288"/>
      <c r="B11" s="503" t="str">
        <f>Lan!$F$45</f>
        <v>Objetivos</v>
      </c>
      <c r="C11" s="504"/>
      <c r="D11" s="365" t="str">
        <f>Lan!$F$57&amp;" / "&amp;Lan!$F$58</f>
        <v>Actual / Meta</v>
      </c>
      <c r="E11" s="365" t="str">
        <f>Data!$A$2</f>
        <v>ENE</v>
      </c>
      <c r="F11" s="365" t="str">
        <f>Data!$A$3</f>
        <v>FEB</v>
      </c>
      <c r="G11" s="365" t="str">
        <f>Data!$A$4</f>
        <v>MAR</v>
      </c>
      <c r="H11" s="365" t="str">
        <f>Data!$A$5</f>
        <v>ABR</v>
      </c>
      <c r="I11" s="365" t="str">
        <f>Data!$A$6</f>
        <v>MAY</v>
      </c>
      <c r="J11" s="365" t="str">
        <f>Data!$A$7</f>
        <v>JUN</v>
      </c>
      <c r="K11" s="365" t="str">
        <f>Data!$A$8</f>
        <v>JUL</v>
      </c>
      <c r="L11" s="365" t="str">
        <f>Data!$A$9</f>
        <v>AGO</v>
      </c>
      <c r="M11" s="365" t="str">
        <f>Data!$A$10</f>
        <v>SEP</v>
      </c>
      <c r="N11" s="365" t="str">
        <f>Data!$A$11</f>
        <v>OCT</v>
      </c>
      <c r="O11" s="365" t="str">
        <f>Data!$A$12</f>
        <v>NOV</v>
      </c>
      <c r="P11" s="365" t="str">
        <f>Data!$A$13</f>
        <v>DIC</v>
      </c>
      <c r="Q11" s="365" t="str">
        <f>Lan!F60</f>
        <v>Acumulado</v>
      </c>
      <c r="R11" s="365" t="str">
        <f>Data!$A$15</f>
        <v>TOTAL</v>
      </c>
      <c r="T11" s="93"/>
      <c r="U11" s="93"/>
    </row>
    <row r="12" spans="1:21" ht="22" customHeight="1">
      <c r="A12" s="288"/>
      <c r="B12" s="497" t="str">
        <f>IF('O1'!B12="","",'O1'!B12)</f>
        <v>Abrir 2 nuevas sucursales en ciudades turísticas del país antes de julio de 2026.</v>
      </c>
      <c r="C12" s="498"/>
      <c r="D12" s="400" t="str">
        <f>IF(B12="","",Lan!$F$57)</f>
        <v>Actual</v>
      </c>
      <c r="E12" s="94">
        <v>45</v>
      </c>
      <c r="F12" s="94">
        <v>67</v>
      </c>
      <c r="G12" s="94">
        <v>98</v>
      </c>
      <c r="H12" s="94">
        <v>76</v>
      </c>
      <c r="I12" s="94">
        <v>65</v>
      </c>
      <c r="J12" s="94">
        <v>45</v>
      </c>
      <c r="K12" s="94">
        <v>65</v>
      </c>
      <c r="L12" s="94">
        <v>54</v>
      </c>
      <c r="M12" s="94">
        <v>43</v>
      </c>
      <c r="N12" s="94">
        <v>34</v>
      </c>
      <c r="O12" s="94">
        <v>43</v>
      </c>
      <c r="P12" s="94">
        <v>43</v>
      </c>
      <c r="Q12" s="402">
        <f t="array" ref="Q12">IF(B12="","",IFERROR(IF('O1'!$H$12=Data!$J$4,INDEX('KPI1'!E12:P12,COUNT(E12:P12)),IF('O1'!$H$12=Data!$J$2,SUM('KPI1'!E12:P12),IF('O1'!$H$12=Data!$J$3,AVERAGEIF(E12:P12,"&lt;&gt;",E12:P12)))),0))</f>
        <v>678</v>
      </c>
      <c r="R12" s="402">
        <f t="array" ref="R12">IF(B12="","",IFERROR(IF('O1'!$H$12=Data!$J$4,INDEX('KPI1'!E12:P12,COUNT(E12:P12)),IF('O1'!$H$12=Data!$J$2,SUM('KPI1'!E12:P12),IF('O1'!$H$12=Data!$J$3,AVERAGEIF(E12:P12,"&lt;&gt;",E12:P12)))),0))</f>
        <v>678</v>
      </c>
      <c r="T12" s="93" t="str">
        <f>'O1'!G12</f>
        <v>↑</v>
      </c>
      <c r="U12" s="93"/>
    </row>
    <row r="13" spans="1:21" ht="22" customHeight="1">
      <c r="A13" s="288"/>
      <c r="B13" s="499"/>
      <c r="C13" s="500"/>
      <c r="D13" s="401" t="str">
        <f>IF(B12="","",Lan!$F$58)</f>
        <v>Meta</v>
      </c>
      <c r="E13" s="95">
        <v>87</v>
      </c>
      <c r="F13" s="95">
        <v>87</v>
      </c>
      <c r="G13" s="95">
        <v>56</v>
      </c>
      <c r="H13" s="95">
        <v>56</v>
      </c>
      <c r="I13" s="95">
        <v>43</v>
      </c>
      <c r="J13" s="95">
        <v>23</v>
      </c>
      <c r="K13" s="95">
        <v>32</v>
      </c>
      <c r="L13" s="95">
        <v>34</v>
      </c>
      <c r="M13" s="95">
        <v>54</v>
      </c>
      <c r="N13" s="95">
        <v>54</v>
      </c>
      <c r="O13" s="95">
        <v>56</v>
      </c>
      <c r="P13" s="95">
        <v>32</v>
      </c>
      <c r="Q13" s="401">
        <f>IF(B12="","",IFERROR(IF('O1'!$H$12=Data!$J$4,T13,IF('O1'!$H$12=Data!$J$2,SUMIF('KPI1'!E12:P12,"&lt;&gt;",E13:P13),IF('O1'!$H$12=Data!$J$3,AVERAGEIF(E13:P13,"&lt;&gt;",E13:P13)))),0))</f>
        <v>614</v>
      </c>
      <c r="R13" s="403">
        <f t="array" ref="R13">IF(B12="","",IFERROR(IF('O1'!$H$12=Data!$J$4,INDEX('KPI1'!E13:P13,COUNT(E13:P13)),IF('O1'!$H$12=Data!$J$2,SUM('KPI1'!E13:P13),IF('O1'!$H$12=Data!$J$3,AVERAGE(E13:P13)))),0))</f>
        <v>614</v>
      </c>
      <c r="T13" s="93">
        <f>IF(P12&lt;&gt;"",P13,IF(O12&lt;&gt;"",O13,IF(N12&lt;&gt;"",N13,IF(M12&lt;&gt;"",M13,IF(L12&lt;&gt;"",L13,IF(K12&lt;&gt;"",K13,IF(J12&lt;&gt;"",J13,IF(I12&lt;&gt;"",I13,IF(H12&lt;&gt;"",H13,IF(G12&lt;&gt;"",G13,IF(F12&lt;&gt;"",F13,IF(E12&lt;&gt;"",E13,0))))))))))))</f>
        <v>32</v>
      </c>
      <c r="U13" s="93">
        <f>IF(AND($T$12="↓",Q14&lt;T8),1,IF(AND($T$12="↑",Q14&gt;T8),1))</f>
        <v>1</v>
      </c>
    </row>
    <row r="14" spans="1:21" s="309" customFormat="1" ht="22" customHeight="1" thickBot="1">
      <c r="B14" s="501"/>
      <c r="C14" s="502"/>
      <c r="D14" s="214" t="str">
        <f>IF(B12="","","%")</f>
        <v>%</v>
      </c>
      <c r="E14" s="215">
        <f t="shared" ref="E14:R14" si="0">IFERROR(IF($B12="","",E12/E13),"")</f>
        <v>0.51724137931034486</v>
      </c>
      <c r="F14" s="215">
        <f t="shared" si="0"/>
        <v>0.77011494252873558</v>
      </c>
      <c r="G14" s="215">
        <f t="shared" si="0"/>
        <v>1.75</v>
      </c>
      <c r="H14" s="215">
        <f t="shared" si="0"/>
        <v>1.3571428571428572</v>
      </c>
      <c r="I14" s="215">
        <f t="shared" si="0"/>
        <v>1.5116279069767442</v>
      </c>
      <c r="J14" s="215">
        <f t="shared" si="0"/>
        <v>1.9565217391304348</v>
      </c>
      <c r="K14" s="215">
        <f t="shared" si="0"/>
        <v>2.03125</v>
      </c>
      <c r="L14" s="215">
        <f t="shared" si="0"/>
        <v>1.588235294117647</v>
      </c>
      <c r="M14" s="215">
        <f t="shared" si="0"/>
        <v>0.79629629629629628</v>
      </c>
      <c r="N14" s="215">
        <f t="shared" si="0"/>
        <v>0.62962962962962965</v>
      </c>
      <c r="O14" s="215">
        <f t="shared" si="0"/>
        <v>0.7678571428571429</v>
      </c>
      <c r="P14" s="215">
        <f t="shared" si="0"/>
        <v>1.34375</v>
      </c>
      <c r="Q14" s="215">
        <f t="shared" si="0"/>
        <v>1.1042345276872965</v>
      </c>
      <c r="R14" s="215">
        <f t="shared" si="0"/>
        <v>1.1042345276872965</v>
      </c>
      <c r="T14" s="416"/>
      <c r="U14" s="416"/>
    </row>
    <row r="15" spans="1:21" ht="22" customHeight="1">
      <c r="A15" s="288"/>
      <c r="B15" s="497" t="str">
        <f>IF('O1'!B13="","",'O1'!B13)</f>
        <v/>
      </c>
      <c r="C15" s="498"/>
      <c r="D15" s="400" t="str">
        <f>IF(B15="","",Lan!$F$57)</f>
        <v/>
      </c>
      <c r="E15" s="94">
        <v>0.03</v>
      </c>
      <c r="F15" s="94">
        <v>0.02</v>
      </c>
      <c r="G15" s="94">
        <v>1.4E-2</v>
      </c>
      <c r="H15" s="94">
        <v>2.1999999999999999E-2</v>
      </c>
      <c r="I15" s="94">
        <v>1.0999999999999999E-2</v>
      </c>
      <c r="J15" s="94">
        <v>1.9E-2</v>
      </c>
      <c r="K15" s="94">
        <v>0.03</v>
      </c>
      <c r="L15" s="94">
        <v>1.4999999999999999E-2</v>
      </c>
      <c r="M15" s="94">
        <v>2.5000000000000001E-2</v>
      </c>
      <c r="N15" s="94">
        <v>1.4999999999999999E-2</v>
      </c>
      <c r="O15" s="94">
        <v>1.4999999999999999E-2</v>
      </c>
      <c r="P15" s="94">
        <v>1.4999999999999999E-2</v>
      </c>
      <c r="Q15" s="402" t="str">
        <f>IF(B15="","",IFERROR(IF('O1'!$H$13=Data!$J$4,INDEX('KPI1'!E15:P15,COUNT(E15:P15)),IF('O1'!$H$13=Data!$J$2,SUM('KPI1'!E15:P15),IF('O1'!$H$13=Data!$J$3,AVERAGEIF(E15:P15,"&lt;&gt;",E15:P15)))),0))</f>
        <v/>
      </c>
      <c r="R15" s="402" t="str">
        <f t="array" ref="R15">IF(B15="","",IFERROR(IF('O1'!$H$13=Data!$J$4,INDEX('KPI1'!E15:P15,COUNT(E15:P15)),IF('O1'!$H$13=Data!$J$2,SUM('KPI1'!E15:P15),IF('O1'!$H$13=Data!$J$3,AVERAGEIF(E15:P15,"&lt;&gt;",E15:P15)))),0))</f>
        <v/>
      </c>
      <c r="T15" s="93">
        <f>'O1'!G13</f>
        <v>0</v>
      </c>
      <c r="U15" s="93"/>
    </row>
    <row r="16" spans="1:21" ht="22" customHeight="1">
      <c r="A16" s="288"/>
      <c r="B16" s="499"/>
      <c r="C16" s="500"/>
      <c r="D16" s="401" t="str">
        <f>IF(B15="","",Lan!$F$58)</f>
        <v/>
      </c>
      <c r="E16" s="95">
        <v>0.02</v>
      </c>
      <c r="F16" s="95">
        <v>0.09</v>
      </c>
      <c r="G16" s="95">
        <v>0.09</v>
      </c>
      <c r="H16" s="95">
        <v>0.02</v>
      </c>
      <c r="I16" s="95">
        <v>1.9E-2</v>
      </c>
      <c r="J16" s="95">
        <v>0.02</v>
      </c>
      <c r="K16" s="95">
        <v>0.02</v>
      </c>
      <c r="L16" s="95">
        <v>0.02</v>
      </c>
      <c r="M16" s="95">
        <v>0.02</v>
      </c>
      <c r="N16" s="95">
        <v>0.02</v>
      </c>
      <c r="O16" s="95">
        <v>0.02</v>
      </c>
      <c r="P16" s="95">
        <v>0.02</v>
      </c>
      <c r="Q16" s="401" t="str">
        <f>IF(B15="","",IFERROR(IF('O1'!$H$13=Data!$J$4,T16,IF('O1'!$H$13=Data!$J$2,SUMIF('KPI1'!E15:P15,"&lt;&gt;",E16:P16),IF('O1'!$H$13=Data!$J$3,AVERAGEIF(E16:P16,"&lt;&gt;",E16:P16)))),0))</f>
        <v/>
      </c>
      <c r="R16" s="403" t="str">
        <f t="array" ref="R16">IF(B15="","",IFERROR(IF('O1'!$H$13=Data!$J$4,INDEX('KPI1'!E16:P16,COUNT(E16:P16)),IF('O1'!$H$13=Data!$J$2,SUM('KPI1'!E16:P16),IF('O1'!$H$13=Data!$J$3,AVERAGE(E16:P16)))),0))</f>
        <v/>
      </c>
      <c r="T16" s="93">
        <f>IF(P15&lt;&gt;"",P16,IF(O15&lt;&gt;"",O16,IF(N15&lt;&gt;"",N16,IF(M15&lt;&gt;"",M16,IF(L15&lt;&gt;"",L16,IF(K15&lt;&gt;"",K16,IF(J15&lt;&gt;"",J16,IF(I15&lt;&gt;"",I16,IF(H15&lt;&gt;"",H16,IF(G15&lt;&gt;"",G16,IF(F15&lt;&gt;"",F16,IF(E15&lt;&gt;"",E16,0))))))))))))</f>
        <v>0.02</v>
      </c>
      <c r="U16" s="93"/>
    </row>
    <row r="17" spans="1:21" s="309" customFormat="1" ht="22" customHeight="1" thickBot="1">
      <c r="B17" s="501"/>
      <c r="C17" s="502"/>
      <c r="D17" s="214" t="str">
        <f>IF(B15="","","%")</f>
        <v/>
      </c>
      <c r="E17" s="215" t="str">
        <f t="shared" ref="E17:R17" si="1">IFERROR(IF($B15="","",E15/E16),"")</f>
        <v/>
      </c>
      <c r="F17" s="215" t="str">
        <f t="shared" si="1"/>
        <v/>
      </c>
      <c r="G17" s="215" t="str">
        <f t="shared" si="1"/>
        <v/>
      </c>
      <c r="H17" s="215" t="str">
        <f t="shared" si="1"/>
        <v/>
      </c>
      <c r="I17" s="215" t="str">
        <f t="shared" si="1"/>
        <v/>
      </c>
      <c r="J17" s="215" t="str">
        <f t="shared" si="1"/>
        <v/>
      </c>
      <c r="K17" s="215" t="str">
        <f t="shared" si="1"/>
        <v/>
      </c>
      <c r="L17" s="215" t="str">
        <f t="shared" si="1"/>
        <v/>
      </c>
      <c r="M17" s="215" t="str">
        <f t="shared" si="1"/>
        <v/>
      </c>
      <c r="N17" s="215" t="str">
        <f t="shared" si="1"/>
        <v/>
      </c>
      <c r="O17" s="215" t="str">
        <f t="shared" si="1"/>
        <v/>
      </c>
      <c r="P17" s="215" t="str">
        <f t="shared" si="1"/>
        <v/>
      </c>
      <c r="Q17" s="215" t="str">
        <f t="shared" si="1"/>
        <v/>
      </c>
      <c r="R17" s="215" t="str">
        <f t="shared" si="1"/>
        <v/>
      </c>
      <c r="T17" s="416"/>
      <c r="U17" s="416"/>
    </row>
    <row r="18" spans="1:21" ht="22" customHeight="1">
      <c r="A18" s="288"/>
      <c r="B18" s="497" t="str">
        <f>IF('O1'!B14="","",'O1'!B14)</f>
        <v/>
      </c>
      <c r="C18" s="498"/>
      <c r="D18" s="400" t="str">
        <f>IF(B18="","",Lan!$F$57)</f>
        <v/>
      </c>
      <c r="E18" s="94"/>
      <c r="F18" s="94"/>
      <c r="G18" s="94"/>
      <c r="H18" s="94"/>
      <c r="I18" s="94"/>
      <c r="J18" s="94"/>
      <c r="K18" s="94"/>
      <c r="L18" s="94"/>
      <c r="M18" s="94"/>
      <c r="N18" s="94"/>
      <c r="O18" s="94"/>
      <c r="P18" s="94"/>
      <c r="Q18" s="402" t="str">
        <f t="array" ref="Q18">IF(B18="","",IFERROR(IF('O1'!$H$14=Data!$J$4,INDEX('KPI1'!E18:P18,COUNT(E18:P18)),IF('O1'!$H$14=Data!$J$2,SUM('KPI1'!E18:P18),IF('O1'!$H$14=Data!$J$3,AVERAGEIF(E18:P18,"&lt;&gt;",E18:P18)))),0))</f>
        <v/>
      </c>
      <c r="R18" s="402" t="str">
        <f t="array" ref="R18">IF(B18="","",IFERROR(IF('O1'!$H$14=Data!$J$4,INDEX('KPI1'!E18:P18,COUNT(E18:P18)),IF('O1'!$H$14=Data!$J$2,SUM('KPI1'!E18:P18),IF('O1'!$H$14=Data!$J$3,AVERAGEIF(E18:P18,"&lt;&gt;",E18:P18)))),0))</f>
        <v/>
      </c>
      <c r="T18" s="93">
        <f>'O1'!G14</f>
        <v>0</v>
      </c>
      <c r="U18" s="93"/>
    </row>
    <row r="19" spans="1:21" ht="22" customHeight="1">
      <c r="A19" s="288"/>
      <c r="B19" s="499"/>
      <c r="C19" s="500"/>
      <c r="D19" s="401" t="str">
        <f>IF(B18="","",Lan!$F$58)</f>
        <v/>
      </c>
      <c r="E19" s="95"/>
      <c r="F19" s="95"/>
      <c r="G19" s="95"/>
      <c r="H19" s="95"/>
      <c r="I19" s="95"/>
      <c r="J19" s="95"/>
      <c r="K19" s="95"/>
      <c r="L19" s="95"/>
      <c r="M19" s="95"/>
      <c r="N19" s="95"/>
      <c r="O19" s="95"/>
      <c r="P19" s="95"/>
      <c r="Q19" s="401" t="str">
        <f>IF(B18="","",IFERROR(IF('O1'!$H$14=Data!$J$4,T19,IF('O1'!$H$14=Data!$J$2,SUMIF('KPI1'!E18:P18,"&lt;&gt;",E19:P19),IF('O1'!$H$14=Data!$J$3,AVERAGEIF(E19:P19,"&lt;&gt;",E19:P19)))),0))</f>
        <v/>
      </c>
      <c r="R19" s="403" t="str">
        <f t="array" ref="R19">IF(B18="","",IFERROR(IF('O1'!$H$14=Data!$J$4,INDEX('KPI1'!E19:P19,COUNT(E19:P19)),IF('O1'!$H$14=Data!$J$2,SUM('KPI1'!E19:P19),IF('O1'!$H$14=Data!$J$3,AVERAGE(E19:P19)))),0))</f>
        <v/>
      </c>
      <c r="T19" s="93">
        <f>IF(P18&lt;&gt;"",P19,IF(O18&lt;&gt;"",O19,IF(N18&lt;&gt;"",N19,IF(M18&lt;&gt;"",M19,IF(L18&lt;&gt;"",L19,IF(K18&lt;&gt;"",K19,IF(J18&lt;&gt;"",J19,IF(I18&lt;&gt;"",I19,IF(H18&lt;&gt;"",H19,IF(G18&lt;&gt;"",G19,IF(F18&lt;&gt;"",F19,IF(E18&lt;&gt;"",E19,0))))))))))))</f>
        <v>0</v>
      </c>
      <c r="U19" s="93"/>
    </row>
    <row r="20" spans="1:21" s="309" customFormat="1" ht="22" customHeight="1" thickBot="1">
      <c r="B20" s="501"/>
      <c r="C20" s="502"/>
      <c r="D20" s="214" t="str">
        <f>IF(B18="","","%")</f>
        <v/>
      </c>
      <c r="E20" s="215" t="str">
        <f t="shared" ref="E20:R20" si="2">IFERROR(IF($B18="","",E18/E19),"")</f>
        <v/>
      </c>
      <c r="F20" s="215" t="str">
        <f t="shared" si="2"/>
        <v/>
      </c>
      <c r="G20" s="215" t="str">
        <f t="shared" si="2"/>
        <v/>
      </c>
      <c r="H20" s="215" t="str">
        <f t="shared" si="2"/>
        <v/>
      </c>
      <c r="I20" s="215" t="str">
        <f t="shared" si="2"/>
        <v/>
      </c>
      <c r="J20" s="215" t="str">
        <f t="shared" si="2"/>
        <v/>
      </c>
      <c r="K20" s="215" t="str">
        <f t="shared" si="2"/>
        <v/>
      </c>
      <c r="L20" s="215" t="str">
        <f t="shared" si="2"/>
        <v/>
      </c>
      <c r="M20" s="215" t="str">
        <f t="shared" si="2"/>
        <v/>
      </c>
      <c r="N20" s="215" t="str">
        <f t="shared" si="2"/>
        <v/>
      </c>
      <c r="O20" s="215" t="str">
        <f t="shared" si="2"/>
        <v/>
      </c>
      <c r="P20" s="215" t="str">
        <f t="shared" si="2"/>
        <v/>
      </c>
      <c r="Q20" s="215" t="str">
        <f t="shared" si="2"/>
        <v/>
      </c>
      <c r="R20" s="215" t="str">
        <f t="shared" si="2"/>
        <v/>
      </c>
      <c r="T20" s="416"/>
      <c r="U20" s="416"/>
    </row>
    <row r="21" spans="1:21" ht="22" customHeight="1">
      <c r="A21" s="288"/>
      <c r="B21" s="497" t="str">
        <f>IF('O1'!B15="","",'O1'!B15)</f>
        <v/>
      </c>
      <c r="C21" s="498"/>
      <c r="D21" s="400" t="str">
        <f>IF(B21="","",Lan!$F$57)</f>
        <v/>
      </c>
      <c r="E21" s="94"/>
      <c r="F21" s="94"/>
      <c r="G21" s="94"/>
      <c r="H21" s="94"/>
      <c r="I21" s="94"/>
      <c r="J21" s="94"/>
      <c r="K21" s="94"/>
      <c r="L21" s="94"/>
      <c r="M21" s="94"/>
      <c r="N21" s="94"/>
      <c r="O21" s="94"/>
      <c r="P21" s="94"/>
      <c r="Q21" s="402" t="str">
        <f t="array" ref="Q21">IF(B21="","",IFERROR(IF('O1'!$H$15=Data!$J$4,INDEX('KPI1'!E21:P21,COUNT(E21:P21)),IF('O1'!$H$15=Data!$J$2,SUM('KPI1'!E21:P21),IF('O1'!$H$15=Data!$J$3,AVERAGEIF(E21:P21,"&lt;&gt;",E21:P21)))),0))</f>
        <v/>
      </c>
      <c r="R21" s="402" t="str">
        <f t="array" ref="R21">IF(B21="","",IFERROR(IF('O1'!$H$15=Data!$J$4,INDEX('KPI1'!E21:P21,COUNT(E21:P21)),IF('O1'!$H$15=Data!$J$2,SUM('KPI1'!E21:P21),IF('O1'!$H$15=Data!$J$3,AVERAGEIF(E21:P21,"&lt;&gt;",E21:P21)))),0))</f>
        <v/>
      </c>
      <c r="T21" s="93">
        <f>'O1'!G15</f>
        <v>0</v>
      </c>
      <c r="U21" s="93"/>
    </row>
    <row r="22" spans="1:21" ht="22" customHeight="1">
      <c r="A22" s="288"/>
      <c r="B22" s="499"/>
      <c r="C22" s="500"/>
      <c r="D22" s="401" t="str">
        <f>IF(B21="","",Lan!$F$58)</f>
        <v/>
      </c>
      <c r="E22" s="95"/>
      <c r="F22" s="95"/>
      <c r="G22" s="95"/>
      <c r="H22" s="95"/>
      <c r="I22" s="95"/>
      <c r="J22" s="95"/>
      <c r="K22" s="95"/>
      <c r="L22" s="95"/>
      <c r="M22" s="95"/>
      <c r="N22" s="95"/>
      <c r="O22" s="95"/>
      <c r="P22" s="95"/>
      <c r="Q22" s="401" t="str">
        <f>IF(B21="","",IFERROR(IF('O1'!$H$15=Data!$J$4,T22,IF('O1'!$H$15=Data!$J$2,SUMIF('KPI1'!E21:P21,"&lt;&gt;",E22:P22),IF('O1'!$H$15=Data!$J$3,AVERAGEIF(E22:P22,"&lt;&gt;",E22:P22)))),0))</f>
        <v/>
      </c>
      <c r="R22" s="403" t="str">
        <f t="array" ref="R22">IF(B21="","",IFERROR(IF('O1'!$H$15=Data!$J$4,INDEX('KPI1'!E22:P22,COUNT(E22:P22)),IF('O1'!$H$15=Data!$J$2,SUM('KPI1'!E22:P22),IF('O1'!$H$15=Data!$J$3,AVERAGE(E22:P22)))),0))</f>
        <v/>
      </c>
      <c r="T22" s="93">
        <f>IF(P21&lt;&gt;"",P22,IF(O21&lt;&gt;"",O22,IF(N21&lt;&gt;"",N22,IF(M21&lt;&gt;"",M22,IF(L21&lt;&gt;"",L22,IF(K21&lt;&gt;"",K22,IF(J21&lt;&gt;"",J22,IF(I21&lt;&gt;"",I22,IF(H21&lt;&gt;"",H22,IF(G21&lt;&gt;"",G22,IF(F21&lt;&gt;"",F22,IF(E21&lt;&gt;"",E22,0))))))))))))</f>
        <v>0</v>
      </c>
      <c r="U22" s="93"/>
    </row>
    <row r="23" spans="1:21" s="309" customFormat="1" ht="22" customHeight="1" thickBot="1">
      <c r="B23" s="501"/>
      <c r="C23" s="502"/>
      <c r="D23" s="216" t="str">
        <f>IF(B21="","","%")</f>
        <v/>
      </c>
      <c r="E23" s="215" t="str">
        <f t="shared" ref="E23:R23" si="3">IFERROR(IF($B21="","",E21/E22),"")</f>
        <v/>
      </c>
      <c r="F23" s="215" t="str">
        <f t="shared" si="3"/>
        <v/>
      </c>
      <c r="G23" s="215" t="str">
        <f t="shared" si="3"/>
        <v/>
      </c>
      <c r="H23" s="215" t="str">
        <f t="shared" si="3"/>
        <v/>
      </c>
      <c r="I23" s="215" t="str">
        <f t="shared" si="3"/>
        <v/>
      </c>
      <c r="J23" s="215" t="str">
        <f t="shared" si="3"/>
        <v/>
      </c>
      <c r="K23" s="215" t="str">
        <f t="shared" si="3"/>
        <v/>
      </c>
      <c r="L23" s="215" t="str">
        <f t="shared" si="3"/>
        <v/>
      </c>
      <c r="M23" s="215" t="str">
        <f t="shared" si="3"/>
        <v/>
      </c>
      <c r="N23" s="215" t="str">
        <f t="shared" si="3"/>
        <v/>
      </c>
      <c r="O23" s="215" t="str">
        <f t="shared" si="3"/>
        <v/>
      </c>
      <c r="P23" s="215" t="str">
        <f t="shared" si="3"/>
        <v/>
      </c>
      <c r="Q23" s="215" t="str">
        <f t="shared" si="3"/>
        <v/>
      </c>
      <c r="R23" s="215" t="str">
        <f t="shared" si="3"/>
        <v/>
      </c>
      <c r="T23" s="416"/>
      <c r="U23" s="416"/>
    </row>
    <row r="24" spans="1:21" ht="22" customHeight="1">
      <c r="A24" s="288"/>
      <c r="B24" s="497" t="str">
        <f>IF('O1'!B16="","",'O1'!B16)</f>
        <v/>
      </c>
      <c r="C24" s="498"/>
      <c r="D24" s="400" t="str">
        <f>IF(B24="","",Lan!$F$57)</f>
        <v/>
      </c>
      <c r="E24" s="94"/>
      <c r="F24" s="94"/>
      <c r="G24" s="94"/>
      <c r="H24" s="94"/>
      <c r="I24" s="94"/>
      <c r="J24" s="94"/>
      <c r="K24" s="94"/>
      <c r="L24" s="94"/>
      <c r="M24" s="94"/>
      <c r="N24" s="94"/>
      <c r="O24" s="94"/>
      <c r="P24" s="94"/>
      <c r="Q24" s="402" t="str">
        <f t="array" ref="Q24">IF(B24="","",IFERROR(IF('O1'!$H$16=Data!$J$4,INDEX('KPI1'!E24:P24,COUNT(E24:P24)),IF('O1'!$H$16=Data!$J$2,SUM('KPI1'!E24:P24),IF('O1'!$H$16=Data!$J$3,AVERAGEIF(E24:P24,"&lt;&gt;",E24:P24)))),0))</f>
        <v/>
      </c>
      <c r="R24" s="402" t="str">
        <f t="array" ref="R24">IF(B24="","",IFERROR(IF('O1'!$H$16=Data!$J$4,INDEX('KPI1'!E24:P24,COUNT(E24:P24)),IF('O1'!$H$16=Data!$J$2,SUM('KPI1'!E24:P24),IF('O1'!$H$16=Data!$J$3,AVERAGEIF(E24:P24,"&lt;&gt;",E24:P24)))),0))</f>
        <v/>
      </c>
      <c r="T24" s="93">
        <f>'O1'!G16</f>
        <v>0</v>
      </c>
      <c r="U24" s="93"/>
    </row>
    <row r="25" spans="1:21" ht="22" customHeight="1">
      <c r="A25" s="288"/>
      <c r="B25" s="499"/>
      <c r="C25" s="500"/>
      <c r="D25" s="401" t="str">
        <f>IF(B24="","",Lan!$F$58)</f>
        <v/>
      </c>
      <c r="E25" s="95"/>
      <c r="F25" s="95"/>
      <c r="G25" s="95"/>
      <c r="H25" s="95"/>
      <c r="I25" s="95"/>
      <c r="J25" s="95"/>
      <c r="K25" s="95"/>
      <c r="L25" s="95"/>
      <c r="M25" s="95"/>
      <c r="N25" s="95"/>
      <c r="O25" s="95"/>
      <c r="P25" s="95"/>
      <c r="Q25" s="401" t="str">
        <f>IF(B24="","",IFERROR(IF('O1'!$H$16=Data!$J$4,T25,IF('O1'!$H$16=Data!$J$2,SUMIF('KPI1'!E24:P24,"&lt;&gt;",E25:P25),IF('O1'!$H$16=Data!$J$3,AVERAGEIF(E25:P25,"&lt;&gt;",E25:P25)))),0))</f>
        <v/>
      </c>
      <c r="R25" s="403" t="str">
        <f t="array" ref="R25">IF(B24="","",IFERROR(IF('O1'!$H$16=Data!$J$4,INDEX('KPI1'!E25:P25,COUNT(E25:P25)),IF('O1'!$H$16=Data!$J$2,SUM('KPI1'!E25:P25),IF('O1'!$H$16=Data!$J$3,AVERAGE(E25:P25)))),0))</f>
        <v/>
      </c>
      <c r="T25" s="93">
        <f>IF(P24&lt;&gt;"",P25,IF(O24&lt;&gt;"",O25,IF(N24&lt;&gt;"",N25,IF(M24&lt;&gt;"",M25,IF(L24&lt;&gt;"",L25,IF(K24&lt;&gt;"",K25,IF(J24&lt;&gt;"",J25,IF(I24&lt;&gt;"",I25,IF(H24&lt;&gt;"",H25,IF(G24&lt;&gt;"",G25,IF(F24&lt;&gt;"",F25,IF(E24&lt;&gt;"",E25,0))))))))))))</f>
        <v>0</v>
      </c>
      <c r="U25" s="93"/>
    </row>
    <row r="26" spans="1:21" s="309" customFormat="1" ht="22" customHeight="1" thickBot="1">
      <c r="B26" s="501"/>
      <c r="C26" s="502"/>
      <c r="D26" s="216" t="str">
        <f>IF(B24="","","%")</f>
        <v/>
      </c>
      <c r="E26" s="215" t="str">
        <f t="shared" ref="E26:R26" si="4">IFERROR(IF($B24="","",E24/E25),"")</f>
        <v/>
      </c>
      <c r="F26" s="215" t="str">
        <f t="shared" si="4"/>
        <v/>
      </c>
      <c r="G26" s="215" t="str">
        <f t="shared" si="4"/>
        <v/>
      </c>
      <c r="H26" s="215" t="str">
        <f t="shared" si="4"/>
        <v/>
      </c>
      <c r="I26" s="215" t="str">
        <f t="shared" si="4"/>
        <v/>
      </c>
      <c r="J26" s="215" t="str">
        <f t="shared" si="4"/>
        <v/>
      </c>
      <c r="K26" s="215" t="str">
        <f t="shared" si="4"/>
        <v/>
      </c>
      <c r="L26" s="215" t="str">
        <f t="shared" si="4"/>
        <v/>
      </c>
      <c r="M26" s="215" t="str">
        <f t="shared" si="4"/>
        <v/>
      </c>
      <c r="N26" s="215" t="str">
        <f t="shared" si="4"/>
        <v/>
      </c>
      <c r="O26" s="215" t="str">
        <f t="shared" si="4"/>
        <v/>
      </c>
      <c r="P26" s="215" t="str">
        <f t="shared" si="4"/>
        <v/>
      </c>
      <c r="Q26" s="215" t="str">
        <f t="shared" si="4"/>
        <v/>
      </c>
      <c r="R26" s="215" t="str">
        <f t="shared" si="4"/>
        <v/>
      </c>
      <c r="T26" s="416"/>
      <c r="U26" s="416"/>
    </row>
    <row r="27" spans="1:21" ht="22" customHeight="1">
      <c r="A27" s="288"/>
      <c r="B27" s="497" t="str">
        <f>IF('O1'!B17="","",'O1'!B17)</f>
        <v/>
      </c>
      <c r="C27" s="498"/>
      <c r="D27" s="400" t="str">
        <f>IF(B27="","",Lan!$F$57)</f>
        <v/>
      </c>
      <c r="E27" s="94"/>
      <c r="F27" s="94"/>
      <c r="G27" s="94"/>
      <c r="H27" s="94"/>
      <c r="I27" s="94"/>
      <c r="J27" s="94"/>
      <c r="K27" s="94"/>
      <c r="L27" s="94"/>
      <c r="M27" s="94"/>
      <c r="N27" s="94"/>
      <c r="O27" s="94"/>
      <c r="P27" s="94"/>
      <c r="Q27" s="402" t="str">
        <f t="array" ref="Q27">IF(B27="","",IFERROR(IF('O1'!$H$17=Data!$J$4,INDEX('KPI1'!E27:P27,COUNT(E27:P27)),IF('O1'!$H$17=Data!$J$2,SUM('KPI1'!E27:P27),IF('O1'!$H$17=Data!$J$3,AVERAGEIF(E27:P27,"&lt;&gt;",E27:P27)))),0))</f>
        <v/>
      </c>
      <c r="R27" s="402" t="str">
        <f t="array" ref="R27">IF(B27="","",IFERROR(IF('O1'!$H$17=Data!$J$4,INDEX('KPI1'!E27:P27,COUNT(E27:P27)),IF('O1'!$H$17=Data!$J$2,SUM('KPI1'!E27:P27),IF('O1'!$H$17=Data!$J$3,AVERAGEIF(E27:P27,"&lt;&gt;",E27:P27)))),0))</f>
        <v/>
      </c>
      <c r="T27" s="93">
        <f>'O1'!G17</f>
        <v>0</v>
      </c>
      <c r="U27" s="93"/>
    </row>
    <row r="28" spans="1:21" ht="22" customHeight="1">
      <c r="A28" s="288"/>
      <c r="B28" s="499"/>
      <c r="C28" s="500"/>
      <c r="D28" s="401" t="str">
        <f>IF(B27="","",Lan!$F$58)</f>
        <v/>
      </c>
      <c r="E28" s="95"/>
      <c r="F28" s="95"/>
      <c r="G28" s="95"/>
      <c r="H28" s="95"/>
      <c r="I28" s="95"/>
      <c r="J28" s="95"/>
      <c r="K28" s="95"/>
      <c r="L28" s="95"/>
      <c r="M28" s="95"/>
      <c r="N28" s="95"/>
      <c r="O28" s="95"/>
      <c r="P28" s="95"/>
      <c r="Q28" s="401" t="str">
        <f>IF(B27="","",IFERROR(IF('O1'!$H$17=Data!$J$4,T28,IF('O1'!$H$17=Data!$J$2,SUMIF('KPI1'!E27:P27,"&lt;&gt;",E28:P28),IF('O1'!$H$17=Data!$J$3,AVERAGEIF(E28:P28,"&lt;&gt;",E28:P28)))),0))</f>
        <v/>
      </c>
      <c r="R28" s="403" t="str">
        <f t="array" ref="R28">IF(B27="","",IFERROR(IF('O1'!$H$17=Data!$J$4,INDEX('KPI1'!E28:P28,COUNT(E28:P28)),IF('O1'!$H$17=Data!$J$2,SUM('KPI1'!E28:P28),IF('O1'!$H$17=Data!$J$3,AVERAGE(E28:P28)))),0))</f>
        <v/>
      </c>
      <c r="T28" s="93">
        <f>IF(P27&lt;&gt;"",P28,IF(O27&lt;&gt;"",O28,IF(N27&lt;&gt;"",N28,IF(M27&lt;&gt;"",M28,IF(L27&lt;&gt;"",L28,IF(K27&lt;&gt;"",K28,IF(J27&lt;&gt;"",J28,IF(I27&lt;&gt;"",I28,IF(H27&lt;&gt;"",H28,IF(G27&lt;&gt;"",G28,IF(F27&lt;&gt;"",F28,IF(E27&lt;&gt;"",E28,0))))))))))))</f>
        <v>0</v>
      </c>
      <c r="U28" s="93"/>
    </row>
    <row r="29" spans="1:21" s="309" customFormat="1" ht="22" customHeight="1" thickBot="1">
      <c r="B29" s="501"/>
      <c r="C29" s="502"/>
      <c r="D29" s="216" t="str">
        <f>IF(B27="","","%")</f>
        <v/>
      </c>
      <c r="E29" s="215" t="str">
        <f t="shared" ref="E29:R29" si="5">IFERROR(IF($B27="","",E27/E28),"")</f>
        <v/>
      </c>
      <c r="F29" s="215" t="str">
        <f t="shared" si="5"/>
        <v/>
      </c>
      <c r="G29" s="215" t="str">
        <f t="shared" si="5"/>
        <v/>
      </c>
      <c r="H29" s="215" t="str">
        <f t="shared" si="5"/>
        <v/>
      </c>
      <c r="I29" s="215" t="str">
        <f t="shared" si="5"/>
        <v/>
      </c>
      <c r="J29" s="215" t="str">
        <f t="shared" si="5"/>
        <v/>
      </c>
      <c r="K29" s="215" t="str">
        <f t="shared" si="5"/>
        <v/>
      </c>
      <c r="L29" s="215" t="str">
        <f t="shared" si="5"/>
        <v/>
      </c>
      <c r="M29" s="215" t="str">
        <f t="shared" si="5"/>
        <v/>
      </c>
      <c r="N29" s="215" t="str">
        <f t="shared" si="5"/>
        <v/>
      </c>
      <c r="O29" s="215" t="str">
        <f t="shared" si="5"/>
        <v/>
      </c>
      <c r="P29" s="215" t="str">
        <f t="shared" si="5"/>
        <v/>
      </c>
      <c r="Q29" s="215" t="str">
        <f t="shared" si="5"/>
        <v/>
      </c>
      <c r="R29" s="215" t="str">
        <f t="shared" si="5"/>
        <v/>
      </c>
      <c r="T29" s="416"/>
      <c r="U29" s="416"/>
    </row>
    <row r="30" spans="1:21" ht="22" customHeight="1">
      <c r="A30" s="288"/>
      <c r="B30" s="497" t="str">
        <f>IF('O1'!B18="","",'O1'!B18)</f>
        <v/>
      </c>
      <c r="C30" s="498"/>
      <c r="D30" s="400" t="str">
        <f>IF(B30="","",Lan!$F$57)</f>
        <v/>
      </c>
      <c r="E30" s="94"/>
      <c r="F30" s="94"/>
      <c r="G30" s="94"/>
      <c r="H30" s="94"/>
      <c r="I30" s="94"/>
      <c r="J30" s="94"/>
      <c r="K30" s="94"/>
      <c r="L30" s="94"/>
      <c r="M30" s="94"/>
      <c r="N30" s="94"/>
      <c r="O30" s="94"/>
      <c r="P30" s="94"/>
      <c r="Q30" s="402" t="str">
        <f t="array" ref="Q30">IF(B30="","",IFERROR(IF('O1'!$H$18=Data!$J$4,INDEX('KPI1'!E30:P30,COUNT(E30:P30)),IF('O1'!$H$18=Data!$J$2,SUM('KPI1'!E30:P30),IF('O1'!$H$18=Data!$J$3,AVERAGEIF(E30:P30,"&lt;&gt;",E30:P30)))),0))</f>
        <v/>
      </c>
      <c r="R30" s="402" t="str">
        <f t="array" ref="R30">IF(B30="","",IFERROR(IF('O1'!$H$18=Data!$J$4,INDEX('KPI1'!E30:P30,COUNT(E30:P30)),IF('O1'!$H$18=Data!$J$2,SUM('KPI1'!E30:P30),IF('O1'!$H$18=Data!$J$3,AVERAGEIF(E30:P30,"&lt;&gt;",E30:P30)))),0))</f>
        <v/>
      </c>
      <c r="T30" s="93">
        <f>'O1'!G18</f>
        <v>0</v>
      </c>
      <c r="U30" s="93"/>
    </row>
    <row r="31" spans="1:21" ht="22" customHeight="1">
      <c r="A31" s="288"/>
      <c r="B31" s="499"/>
      <c r="C31" s="500"/>
      <c r="D31" s="401" t="str">
        <f>IF(B30="","",Lan!$F$58)</f>
        <v/>
      </c>
      <c r="E31" s="95"/>
      <c r="F31" s="95"/>
      <c r="G31" s="95"/>
      <c r="H31" s="95"/>
      <c r="I31" s="95"/>
      <c r="J31" s="95"/>
      <c r="K31" s="95"/>
      <c r="L31" s="95"/>
      <c r="M31" s="95"/>
      <c r="N31" s="95"/>
      <c r="O31" s="95"/>
      <c r="P31" s="95"/>
      <c r="Q31" s="401" t="str">
        <f>IF(B30="","",IFERROR(IF('O1'!$H$18=Data!$J$4,T31,IF('O1'!$H$18=Data!$J$2,SUMIF('KPI1'!E30:P30,"&lt;&gt;",E31:P31),IF('O1'!$H$18=Data!$J$3,AVERAGEIF(E31:P31,"&lt;&gt;",E31:P31)))),0))</f>
        <v/>
      </c>
      <c r="R31" s="403" t="str">
        <f t="array" ref="R31">IF(B30="","",IFERROR(IF('O1'!$H$18=Data!$J$4,INDEX('KPI1'!E31:P31,COUNT(E31:P31)),IF('O1'!$H$18=Data!$J$2,SUM('KPI1'!E31:P31),IF('O1'!$H$18=Data!$J$3,AVERAGE(E31:P31)))),0))</f>
        <v/>
      </c>
      <c r="T31" s="93">
        <f>IF(P30&lt;&gt;"",P31,IF(O30&lt;&gt;"",O31,IF(N30&lt;&gt;"",N31,IF(M30&lt;&gt;"",M31,IF(L30&lt;&gt;"",L31,IF(K30&lt;&gt;"",K31,IF(J30&lt;&gt;"",J31,IF(I30&lt;&gt;"",I31,IF(H30&lt;&gt;"",H31,IF(G30&lt;&gt;"",G31,IF(F30&lt;&gt;"",F31,IF(E30&lt;&gt;"",E31,0))))))))))))</f>
        <v>0</v>
      </c>
      <c r="U31" s="93"/>
    </row>
    <row r="32" spans="1:21" s="309" customFormat="1" ht="22" customHeight="1" thickBot="1">
      <c r="B32" s="501"/>
      <c r="C32" s="502"/>
      <c r="D32" s="216" t="str">
        <f>IF(B30="","","%")</f>
        <v/>
      </c>
      <c r="E32" s="215" t="str">
        <f t="shared" ref="E32:R32" si="6">IFERROR(IF($B30="","",E30/E31),"")</f>
        <v/>
      </c>
      <c r="F32" s="215" t="str">
        <f t="shared" si="6"/>
        <v/>
      </c>
      <c r="G32" s="215" t="str">
        <f t="shared" si="6"/>
        <v/>
      </c>
      <c r="H32" s="215" t="str">
        <f t="shared" si="6"/>
        <v/>
      </c>
      <c r="I32" s="215" t="str">
        <f t="shared" si="6"/>
        <v/>
      </c>
      <c r="J32" s="215" t="str">
        <f t="shared" si="6"/>
        <v/>
      </c>
      <c r="K32" s="215" t="str">
        <f t="shared" si="6"/>
        <v/>
      </c>
      <c r="L32" s="215" t="str">
        <f t="shared" si="6"/>
        <v/>
      </c>
      <c r="M32" s="215" t="str">
        <f t="shared" si="6"/>
        <v/>
      </c>
      <c r="N32" s="215" t="str">
        <f t="shared" si="6"/>
        <v/>
      </c>
      <c r="O32" s="215" t="str">
        <f t="shared" si="6"/>
        <v/>
      </c>
      <c r="P32" s="215" t="str">
        <f t="shared" si="6"/>
        <v/>
      </c>
      <c r="Q32" s="215" t="str">
        <f t="shared" si="6"/>
        <v/>
      </c>
      <c r="R32" s="215" t="str">
        <f t="shared" si="6"/>
        <v/>
      </c>
      <c r="T32" s="416"/>
      <c r="U32" s="416"/>
    </row>
    <row r="33" spans="1:21" ht="22" customHeight="1">
      <c r="A33" s="288"/>
      <c r="B33" s="497" t="str">
        <f>IF('O1'!B19="","",'O1'!B19)</f>
        <v/>
      </c>
      <c r="C33" s="498"/>
      <c r="D33" s="400" t="str">
        <f>IF(B33="","",Lan!$F$57)</f>
        <v/>
      </c>
      <c r="E33" s="94"/>
      <c r="F33" s="94"/>
      <c r="G33" s="94"/>
      <c r="H33" s="94"/>
      <c r="I33" s="94"/>
      <c r="J33" s="94"/>
      <c r="K33" s="94"/>
      <c r="L33" s="94"/>
      <c r="M33" s="94"/>
      <c r="N33" s="94"/>
      <c r="O33" s="94"/>
      <c r="P33" s="94"/>
      <c r="Q33" s="402" t="str">
        <f t="array" ref="Q33">IF(B33="","",IFERROR(IF('O1'!$H$19=Data!$J$4,INDEX('KPI1'!E33:P33,COUNT(E33:P33)),IF('O1'!$H$19=Data!$J$2,SUM('KPI1'!E33:P33),IF('O1'!$H$19=Data!$J$3,AVERAGEIF(E33:P33,"&lt;&gt;",E33:P33)))),0))</f>
        <v/>
      </c>
      <c r="R33" s="402" t="str">
        <f t="array" ref="R33">IF(B33="","",IFERROR(IF('O1'!$H$19=Data!$J$4,INDEX('KPI1'!E33:P33,COUNT(E33:P33)),IF('O1'!$H$19=Data!$J$2,SUM('KPI1'!E33:P33),IF('O1'!$H$19=Data!$J$3,AVERAGEIF(E33:P33,"&lt;&gt;",E33:P33)))),0))</f>
        <v/>
      </c>
      <c r="T33" s="93">
        <f>'O1'!G19</f>
        <v>0</v>
      </c>
      <c r="U33" s="93"/>
    </row>
    <row r="34" spans="1:21" ht="22" customHeight="1">
      <c r="A34" s="288"/>
      <c r="B34" s="499"/>
      <c r="C34" s="500"/>
      <c r="D34" s="401" t="str">
        <f>IF(B33="","",Lan!$F$58)</f>
        <v/>
      </c>
      <c r="E34" s="95"/>
      <c r="F34" s="95"/>
      <c r="G34" s="95"/>
      <c r="H34" s="95"/>
      <c r="I34" s="95"/>
      <c r="J34" s="95"/>
      <c r="K34" s="95"/>
      <c r="L34" s="95"/>
      <c r="M34" s="95"/>
      <c r="N34" s="95"/>
      <c r="O34" s="95"/>
      <c r="P34" s="95"/>
      <c r="Q34" s="401" t="str">
        <f>IF(B33="","",IFERROR(IF('O1'!$H$19=Data!$J$4,T34,IF('O1'!$H$19=Data!$J$2,SUMIF('KPI1'!E33:P33,"&lt;&gt;",E34:P34),IF('O1'!$H$19=Data!$J$3,AVERAGEIF(E34:P34,"&lt;&gt;",E34:P34)))),0))</f>
        <v/>
      </c>
      <c r="R34" s="403" t="str">
        <f t="array" ref="R34">IF(B33="","",IFERROR(IF('O1'!$H$19=Data!$J$4,INDEX('KPI1'!E34:P34,COUNT(E34:P34)),IF('O1'!$H$19=Data!$J$2,SUM('KPI1'!E34:P34),IF('O1'!$H$19=Data!$J$3,AVERAGE(E34:P34)))),0))</f>
        <v/>
      </c>
      <c r="T34" s="93">
        <f>IF(P33&lt;&gt;"",P34,IF(O33&lt;&gt;"",O34,IF(N33&lt;&gt;"",N34,IF(M33&lt;&gt;"",M34,IF(L33&lt;&gt;"",L34,IF(K33&lt;&gt;"",K34,IF(J33&lt;&gt;"",J34,IF(I33&lt;&gt;"",I34,IF(H33&lt;&gt;"",H34,IF(G33&lt;&gt;"",G34,IF(F33&lt;&gt;"",F34,IF(E33&lt;&gt;"",E34,0))))))))))))</f>
        <v>0</v>
      </c>
      <c r="U34" s="93"/>
    </row>
    <row r="35" spans="1:21" s="309" customFormat="1" ht="22" customHeight="1" thickBot="1">
      <c r="B35" s="501"/>
      <c r="C35" s="502"/>
      <c r="D35" s="216" t="str">
        <f>IF(B33="","","%")</f>
        <v/>
      </c>
      <c r="E35" s="215" t="str">
        <f t="shared" ref="E35:R35" si="7">IFERROR(IF($B33="","",E33/E34),"")</f>
        <v/>
      </c>
      <c r="F35" s="215" t="str">
        <f t="shared" si="7"/>
        <v/>
      </c>
      <c r="G35" s="215" t="str">
        <f t="shared" si="7"/>
        <v/>
      </c>
      <c r="H35" s="215" t="str">
        <f t="shared" si="7"/>
        <v/>
      </c>
      <c r="I35" s="215" t="str">
        <f t="shared" si="7"/>
        <v/>
      </c>
      <c r="J35" s="215" t="str">
        <f t="shared" si="7"/>
        <v/>
      </c>
      <c r="K35" s="215" t="str">
        <f t="shared" si="7"/>
        <v/>
      </c>
      <c r="L35" s="215" t="str">
        <f t="shared" si="7"/>
        <v/>
      </c>
      <c r="M35" s="215" t="str">
        <f t="shared" si="7"/>
        <v/>
      </c>
      <c r="N35" s="215" t="str">
        <f t="shared" si="7"/>
        <v/>
      </c>
      <c r="O35" s="215" t="str">
        <f t="shared" si="7"/>
        <v/>
      </c>
      <c r="P35" s="215" t="str">
        <f t="shared" si="7"/>
        <v/>
      </c>
      <c r="Q35" s="215" t="str">
        <f t="shared" si="7"/>
        <v/>
      </c>
      <c r="R35" s="215" t="str">
        <f t="shared" si="7"/>
        <v/>
      </c>
      <c r="T35" s="416"/>
      <c r="U35" s="416"/>
    </row>
    <row r="36" spans="1:21" ht="22" customHeight="1">
      <c r="A36" s="288"/>
      <c r="B36" s="497" t="str">
        <f>IF('O1'!B20="","",'O1'!B20)</f>
        <v/>
      </c>
      <c r="C36" s="498"/>
      <c r="D36" s="400" t="str">
        <f>IF(B36="","",Lan!$F$57)</f>
        <v/>
      </c>
      <c r="E36" s="94"/>
      <c r="F36" s="94"/>
      <c r="G36" s="94"/>
      <c r="H36" s="94"/>
      <c r="I36" s="94"/>
      <c r="J36" s="94"/>
      <c r="K36" s="94"/>
      <c r="L36" s="94"/>
      <c r="M36" s="94"/>
      <c r="N36" s="94"/>
      <c r="O36" s="94"/>
      <c r="P36" s="94"/>
      <c r="Q36" s="402" t="str">
        <f t="array" ref="Q36">IF(B36="","",IFERROR(IF('O1'!$H$20=Data!$J$4,INDEX('KPI1'!E36:P36,COUNT(E36:P36)),IF('O1'!$H$20=Data!$J$2,SUM('KPI1'!E36:P36),IF('O1'!$H$20=Data!$J$3,AVERAGEIF(E36:P36,"&lt;&gt;",E36:P36)))),0))</f>
        <v/>
      </c>
      <c r="R36" s="402" t="str">
        <f t="array" ref="R36">IF(B36="","",IFERROR(IF('O1'!$H$20=Data!$J$4,INDEX('KPI1'!E36:P36,COUNT(E36:P36)),IF('O1'!$H$20=Data!$J$2,SUM('KPI1'!E36:P36),IF('O1'!$H$20=Data!$J$3,AVERAGEIF(E36:P36,"&lt;&gt;",E36:P36)))),0))</f>
        <v/>
      </c>
      <c r="T36" s="93">
        <f>'O1'!G20</f>
        <v>0</v>
      </c>
      <c r="U36" s="93"/>
    </row>
    <row r="37" spans="1:21" ht="22" customHeight="1">
      <c r="A37" s="288"/>
      <c r="B37" s="499"/>
      <c r="C37" s="500"/>
      <c r="D37" s="401" t="str">
        <f>IF(B36="","",Lan!$F$58)</f>
        <v/>
      </c>
      <c r="E37" s="95"/>
      <c r="F37" s="95"/>
      <c r="G37" s="95"/>
      <c r="H37" s="95"/>
      <c r="I37" s="95"/>
      <c r="J37" s="95"/>
      <c r="K37" s="95"/>
      <c r="L37" s="95"/>
      <c r="M37" s="95"/>
      <c r="N37" s="95"/>
      <c r="O37" s="95"/>
      <c r="P37" s="95"/>
      <c r="Q37" s="401" t="str">
        <f>IF(B36="","",IFERROR(IF('O1'!$H$20=Data!$J$4,T37,IF('O1'!$H$20=Data!$J$2,SUMIF('KPI1'!E36:P36,"&lt;&gt;",E37:P37),IF('O1'!$H$20=Data!$J$3,AVERAGEIF(E37:P37,"&lt;&gt;",E37:P37)))),0))</f>
        <v/>
      </c>
      <c r="R37" s="403" t="str">
        <f t="array" ref="R37">IF(B36="","",IFERROR(IF('O1'!$H$20=Data!$J$4,INDEX('KPI1'!E37:P37,COUNT(E37:P37)),IF('O1'!$H$20=Data!$J$2,SUM('KPI1'!E37:P37),IF('O1'!$H$20=Data!$J$3,AVERAGE(E37:P37)))),0))</f>
        <v/>
      </c>
      <c r="T37" s="93">
        <f>IF(P36&lt;&gt;"",P37,IF(O36&lt;&gt;"",O37,IF(N36&lt;&gt;"",N37,IF(M36&lt;&gt;"",M37,IF(L36&lt;&gt;"",L37,IF(K36&lt;&gt;"",K37,IF(J36&lt;&gt;"",J37,IF(I36&lt;&gt;"",I37,IF(H36&lt;&gt;"",H37,IF(G36&lt;&gt;"",G37,IF(F36&lt;&gt;"",F37,IF(E36&lt;&gt;"",E37,0))))))))))))</f>
        <v>0</v>
      </c>
      <c r="U37" s="93"/>
    </row>
    <row r="38" spans="1:21" s="309" customFormat="1" ht="22" customHeight="1" thickBot="1">
      <c r="B38" s="501"/>
      <c r="C38" s="502"/>
      <c r="D38" s="216" t="str">
        <f>IF(B36="","","%")</f>
        <v/>
      </c>
      <c r="E38" s="215" t="str">
        <f t="shared" ref="E38:R38" si="8">IFERROR(IF($B36="","",E36/E37),"")</f>
        <v/>
      </c>
      <c r="F38" s="215" t="str">
        <f t="shared" si="8"/>
        <v/>
      </c>
      <c r="G38" s="215" t="str">
        <f t="shared" si="8"/>
        <v/>
      </c>
      <c r="H38" s="215" t="str">
        <f t="shared" si="8"/>
        <v/>
      </c>
      <c r="I38" s="215" t="str">
        <f t="shared" si="8"/>
        <v/>
      </c>
      <c r="J38" s="215" t="str">
        <f t="shared" si="8"/>
        <v/>
      </c>
      <c r="K38" s="215" t="str">
        <f t="shared" si="8"/>
        <v/>
      </c>
      <c r="L38" s="215" t="str">
        <f t="shared" si="8"/>
        <v/>
      </c>
      <c r="M38" s="215" t="str">
        <f t="shared" si="8"/>
        <v/>
      </c>
      <c r="N38" s="215" t="str">
        <f t="shared" si="8"/>
        <v/>
      </c>
      <c r="O38" s="215" t="str">
        <f t="shared" si="8"/>
        <v/>
      </c>
      <c r="P38" s="215" t="str">
        <f t="shared" si="8"/>
        <v/>
      </c>
      <c r="Q38" s="215" t="str">
        <f t="shared" si="8"/>
        <v/>
      </c>
      <c r="R38" s="215" t="str">
        <f t="shared" si="8"/>
        <v/>
      </c>
      <c r="T38" s="416"/>
      <c r="U38" s="416"/>
    </row>
    <row r="39" spans="1:21" ht="22" customHeight="1">
      <c r="A39" s="288"/>
      <c r="B39" s="497" t="str">
        <f>IF('O1'!B21="","",'O1'!B21)</f>
        <v/>
      </c>
      <c r="C39" s="498"/>
      <c r="D39" s="400" t="str">
        <f>IF(B39="","",Lan!$F$57)</f>
        <v/>
      </c>
      <c r="E39" s="94"/>
      <c r="F39" s="94"/>
      <c r="G39" s="94"/>
      <c r="H39" s="94"/>
      <c r="I39" s="94"/>
      <c r="J39" s="94"/>
      <c r="K39" s="94"/>
      <c r="L39" s="94"/>
      <c r="M39" s="94"/>
      <c r="N39" s="94"/>
      <c r="O39" s="94"/>
      <c r="P39" s="94"/>
      <c r="Q39" s="402" t="str">
        <f t="array" ref="Q39">IF(B39="","",IFERROR(IF('O1'!$H$21=Data!$J$4,INDEX('KPI1'!E39:P39,COUNT(E39:P39)),IF('O1'!$H$21=Data!$J$2,SUM('KPI1'!E39:P39),IF('O1'!$H$21=Data!$J$3,AVERAGEIF(E39:P39,"&lt;&gt;",E39:P39)))),0))</f>
        <v/>
      </c>
      <c r="R39" s="402" t="str">
        <f t="array" ref="R39">IF(B39="","",IFERROR(IF('O1'!$H$21=Data!$J$4,INDEX('KPI1'!E39:P39,COUNT(E39:P39)),IF('O1'!$H$21=Data!$J$2,SUM('KPI1'!E39:P39),IF('O1'!$H$21=Data!$J$3,AVERAGEIF(E39:P39,"&lt;&gt;",E39:P39)))),0))</f>
        <v/>
      </c>
      <c r="T39" s="93">
        <f>'O1'!G21</f>
        <v>0</v>
      </c>
      <c r="U39" s="93"/>
    </row>
    <row r="40" spans="1:21" ht="22" customHeight="1">
      <c r="A40" s="288"/>
      <c r="B40" s="499"/>
      <c r="C40" s="500"/>
      <c r="D40" s="401" t="str">
        <f>IF(B39="","",Lan!$F$58)</f>
        <v/>
      </c>
      <c r="E40" s="95"/>
      <c r="F40" s="95"/>
      <c r="G40" s="95"/>
      <c r="H40" s="95"/>
      <c r="I40" s="95"/>
      <c r="J40" s="95"/>
      <c r="K40" s="95"/>
      <c r="L40" s="95"/>
      <c r="M40" s="95"/>
      <c r="N40" s="95"/>
      <c r="O40" s="95"/>
      <c r="P40" s="95"/>
      <c r="Q40" s="401" t="str">
        <f>IF(B39="","",IFERROR(IF('O1'!$H$21=Data!$J$4,T40,IF('O1'!$H$21=Data!$J$2,SUMIF('KPI1'!E39:P39,"&lt;&gt;",E40:P40),IF('O1'!$H$21=Data!$J$3,AVERAGEIF(E40:P40,"&lt;&gt;",E40:P40)))),0))</f>
        <v/>
      </c>
      <c r="R40" s="403" t="str">
        <f t="array" ref="R40">IF(B39="","",IFERROR(IF('O1'!$H$21=Data!$J$4,INDEX('KPI1'!E40:P40,COUNT(E40:P40)),IF('O1'!$H$21=Data!$J$2,SUM('KPI1'!E40:P40),IF('O1'!$H$21=Data!$J$3,AVERAGE(E40:P40)))),0))</f>
        <v/>
      </c>
      <c r="T40" s="93">
        <f>IF(P39&lt;&gt;"",P40,IF(O39&lt;&gt;"",O40,IF(N39&lt;&gt;"",N40,IF(M39&lt;&gt;"",M40,IF(L39&lt;&gt;"",L40,IF(K39&lt;&gt;"",K40,IF(J39&lt;&gt;"",J40,IF(I39&lt;&gt;"",I40,IF(H39&lt;&gt;"",H40,IF(G39&lt;&gt;"",G40,IF(F39&lt;&gt;"",F40,IF(E39&lt;&gt;"",E40,0))))))))))))</f>
        <v>0</v>
      </c>
      <c r="U40" s="93"/>
    </row>
    <row r="41" spans="1:21" s="309" customFormat="1" ht="22" customHeight="1" thickBot="1">
      <c r="B41" s="501"/>
      <c r="C41" s="502"/>
      <c r="D41" s="216" t="str">
        <f>IF(B39="","","%")</f>
        <v/>
      </c>
      <c r="E41" s="217" t="str">
        <f t="shared" ref="E41:R41" si="9">IFERROR(IF($B39="","",E39/E40),"")</f>
        <v/>
      </c>
      <c r="F41" s="217" t="str">
        <f t="shared" si="9"/>
        <v/>
      </c>
      <c r="G41" s="217" t="str">
        <f t="shared" si="9"/>
        <v/>
      </c>
      <c r="H41" s="217" t="str">
        <f t="shared" si="9"/>
        <v/>
      </c>
      <c r="I41" s="217" t="str">
        <f t="shared" si="9"/>
        <v/>
      </c>
      <c r="J41" s="217" t="str">
        <f t="shared" si="9"/>
        <v/>
      </c>
      <c r="K41" s="217" t="str">
        <f t="shared" si="9"/>
        <v/>
      </c>
      <c r="L41" s="217" t="str">
        <f t="shared" si="9"/>
        <v/>
      </c>
      <c r="M41" s="217" t="str">
        <f t="shared" si="9"/>
        <v/>
      </c>
      <c r="N41" s="217" t="str">
        <f t="shared" si="9"/>
        <v/>
      </c>
      <c r="O41" s="217" t="str">
        <f t="shared" si="9"/>
        <v/>
      </c>
      <c r="P41" s="217" t="str">
        <f t="shared" si="9"/>
        <v/>
      </c>
      <c r="Q41" s="217" t="str">
        <f t="shared" si="9"/>
        <v/>
      </c>
      <c r="R41" s="217" t="str">
        <f t="shared" si="9"/>
        <v/>
      </c>
      <c r="T41" s="416"/>
      <c r="U41" s="416"/>
    </row>
    <row r="42" spans="1:21" ht="20" customHeight="1">
      <c r="A42" s="288"/>
      <c r="B42" s="299"/>
      <c r="C42" s="288"/>
      <c r="D42" s="288"/>
      <c r="E42" s="288"/>
      <c r="F42" s="288"/>
      <c r="G42" s="288"/>
      <c r="H42" s="288"/>
    </row>
    <row r="43" spans="1:21" ht="20" customHeight="1">
      <c r="A43" s="288"/>
      <c r="B43" s="299"/>
      <c r="C43" s="288"/>
      <c r="D43" s="288"/>
      <c r="E43" s="288"/>
      <c r="F43" s="288"/>
      <c r="G43" s="288"/>
      <c r="H43" s="288"/>
    </row>
    <row r="44" spans="1:21" ht="20" customHeight="1">
      <c r="A44" s="288"/>
      <c r="B44" s="299"/>
      <c r="C44" s="288"/>
      <c r="D44" s="288"/>
      <c r="E44" s="288"/>
      <c r="F44" s="288"/>
      <c r="G44" s="288"/>
      <c r="H44" s="288"/>
    </row>
    <row r="45" spans="1:21" ht="20" customHeight="1">
      <c r="A45" s="288"/>
      <c r="B45" s="299"/>
      <c r="C45" s="288"/>
      <c r="D45" s="288"/>
      <c r="E45" s="288"/>
      <c r="F45" s="288"/>
      <c r="G45" s="288"/>
      <c r="H45" s="288"/>
    </row>
    <row r="46" spans="1:21" ht="20" customHeight="1">
      <c r="A46" s="288"/>
      <c r="B46" s="299"/>
      <c r="C46" s="288"/>
      <c r="D46" s="288"/>
      <c r="E46" s="288"/>
      <c r="F46" s="288"/>
      <c r="G46" s="288"/>
      <c r="H46" s="288"/>
    </row>
    <row r="47" spans="1:21" ht="20" customHeight="1">
      <c r="A47" s="288"/>
      <c r="B47" s="299"/>
      <c r="C47" s="288"/>
      <c r="D47" s="288"/>
      <c r="E47" s="288"/>
      <c r="F47" s="288"/>
      <c r="G47" s="288"/>
      <c r="H47" s="288"/>
    </row>
    <row r="48" spans="1:21" ht="20" customHeight="1">
      <c r="A48" s="288"/>
      <c r="B48" s="299"/>
      <c r="C48" s="288"/>
      <c r="D48" s="288"/>
      <c r="E48" s="288"/>
      <c r="F48" s="288"/>
      <c r="G48" s="288"/>
      <c r="H48" s="288"/>
    </row>
    <row r="49" spans="1:8" ht="20" customHeight="1">
      <c r="A49" s="288"/>
      <c r="B49" s="299"/>
      <c r="C49" s="288"/>
      <c r="D49" s="288"/>
      <c r="E49" s="288"/>
      <c r="F49" s="288"/>
      <c r="G49" s="288"/>
      <c r="H49" s="288"/>
    </row>
    <row r="50" spans="1:8" ht="20" customHeight="1">
      <c r="A50" s="288"/>
      <c r="B50" s="299"/>
      <c r="C50" s="288"/>
      <c r="D50" s="288"/>
      <c r="E50" s="288"/>
      <c r="F50" s="288"/>
      <c r="G50" s="288"/>
      <c r="H50" s="288"/>
    </row>
    <row r="51" spans="1:8" ht="20" customHeight="1">
      <c r="A51" s="288"/>
      <c r="B51" s="299"/>
      <c r="C51" s="288"/>
      <c r="D51" s="288"/>
      <c r="E51" s="288"/>
      <c r="F51" s="288"/>
      <c r="G51" s="288"/>
      <c r="H51" s="288"/>
    </row>
    <row r="52" spans="1:8" ht="20" customHeight="1">
      <c r="A52" s="288"/>
      <c r="B52" s="299"/>
      <c r="C52" s="288"/>
      <c r="D52" s="288"/>
      <c r="E52" s="288"/>
      <c r="F52" s="288"/>
      <c r="G52" s="288"/>
      <c r="H52" s="288"/>
    </row>
    <row r="53" spans="1:8" ht="20" customHeight="1">
      <c r="A53" s="288"/>
      <c r="B53" s="299"/>
      <c r="C53" s="288"/>
      <c r="D53" s="288"/>
      <c r="E53" s="288"/>
      <c r="F53" s="288"/>
      <c r="G53" s="288"/>
      <c r="H53" s="288"/>
    </row>
    <row r="54" spans="1:8" ht="20" customHeight="1">
      <c r="A54" s="288"/>
      <c r="B54" s="356"/>
      <c r="C54" s="288"/>
      <c r="D54" s="288"/>
      <c r="E54" s="288"/>
      <c r="F54" s="288"/>
      <c r="G54" s="288"/>
      <c r="H54" s="288"/>
    </row>
    <row r="55" spans="1:8" ht="20" customHeight="1"/>
    <row r="56" spans="1:8" ht="20" customHeight="1"/>
    <row r="57" spans="1:8" ht="20" customHeight="1"/>
    <row r="58" spans="1:8" ht="20" customHeight="1"/>
    <row r="59" spans="1:8" ht="20" customHeight="1"/>
    <row r="60" spans="1:8" ht="20" customHeight="1"/>
    <row r="61" spans="1:8" ht="20" customHeight="1"/>
    <row r="62" spans="1:8" ht="20" customHeight="1">
      <c r="B62" s="405"/>
    </row>
    <row r="63" spans="1:8" ht="20" customHeight="1"/>
    <row r="64" spans="1:8"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spans="4:4" ht="20" customHeight="1">
      <c r="D81" s="404"/>
    </row>
    <row r="82" spans="4:4" ht="20" customHeight="1"/>
    <row r="83" spans="4:4" ht="20" customHeight="1"/>
    <row r="84" spans="4:4" ht="20" customHeight="1"/>
    <row r="85" spans="4:4" ht="20" customHeight="1"/>
    <row r="86" spans="4:4" ht="20" customHeight="1"/>
    <row r="87" spans="4:4" ht="20" customHeight="1"/>
  </sheetData>
  <sheetProtection formatCells="0" formatColumns="0" formatRows="0" selectLockedCells="1" sort="0" autoFilter="0" pivotTables="0"/>
  <mergeCells count="11">
    <mergeCell ref="B33:C35"/>
    <mergeCell ref="B36:C38"/>
    <mergeCell ref="B39:C41"/>
    <mergeCell ref="B11:C11"/>
    <mergeCell ref="B12:C14"/>
    <mergeCell ref="B15:C17"/>
    <mergeCell ref="B27:C29"/>
    <mergeCell ref="B30:C32"/>
    <mergeCell ref="B18:C20"/>
    <mergeCell ref="B21:C23"/>
    <mergeCell ref="B24:C26"/>
  </mergeCells>
  <conditionalFormatting sqref="B10:G10">
    <cfRule type="expression" dxfId="1118" priority="1">
      <formula>B$10=""</formula>
    </cfRule>
  </conditionalFormatting>
  <conditionalFormatting sqref="B12:R14">
    <cfRule type="expression" dxfId="1117" priority="2">
      <formula>$B$12=""</formula>
    </cfRule>
  </conditionalFormatting>
  <conditionalFormatting sqref="B15:R17">
    <cfRule type="expression" dxfId="1116" priority="3">
      <formula>$B$15=""</formula>
    </cfRule>
  </conditionalFormatting>
  <conditionalFormatting sqref="B18:R20">
    <cfRule type="expression" dxfId="1115" priority="4">
      <formula>$B$18=""</formula>
    </cfRule>
  </conditionalFormatting>
  <conditionalFormatting sqref="B21:R23">
    <cfRule type="expression" dxfId="1114" priority="5">
      <formula>$B$21=""</formula>
    </cfRule>
  </conditionalFormatting>
  <conditionalFormatting sqref="B24:R26">
    <cfRule type="expression" dxfId="1113" priority="6">
      <formula>$B$24=""</formula>
    </cfRule>
  </conditionalFormatting>
  <conditionalFormatting sqref="B27:R29">
    <cfRule type="expression" dxfId="1112" priority="7">
      <formula>$B$27=""</formula>
    </cfRule>
  </conditionalFormatting>
  <conditionalFormatting sqref="B30:R32">
    <cfRule type="expression" dxfId="1111" priority="8">
      <formula>$B$30=""</formula>
    </cfRule>
  </conditionalFormatting>
  <conditionalFormatting sqref="B33:R35">
    <cfRule type="expression" dxfId="1110" priority="9">
      <formula>$B$33=""</formula>
    </cfRule>
  </conditionalFormatting>
  <conditionalFormatting sqref="B36:R38">
    <cfRule type="expression" dxfId="1109" priority="10">
      <formula>$B$36=""</formula>
    </cfRule>
  </conditionalFormatting>
  <conditionalFormatting sqref="B39:R41">
    <cfRule type="expression" dxfId="1108" priority="11">
      <formula>$B$39=""</formula>
    </cfRule>
  </conditionalFormatting>
  <conditionalFormatting sqref="E14:R14">
    <cfRule type="expression" dxfId="1097" priority="439">
      <formula>AND(E14&lt;$T$8,$T12="↑")</formula>
    </cfRule>
    <cfRule type="expression" dxfId="1096" priority="433">
      <formula>AND(E14&lt;=$T$8,$T12="↓")</formula>
    </cfRule>
    <cfRule type="expression" dxfId="1095" priority="436">
      <formula>AND(E14&gt;=$T$8,$T12="↑")</formula>
    </cfRule>
    <cfRule type="expression" dxfId="1094" priority="435">
      <formula>AND(E14&gt;$T$8,$T12="↓")</formula>
    </cfRule>
  </conditionalFormatting>
  <conditionalFormatting sqref="E17:R17">
    <cfRule type="expression" dxfId="1083" priority="156">
      <formula>AND(E17&lt;$T$8,$T15="↑")</formula>
    </cfRule>
    <cfRule type="expression" dxfId="1082" priority="155">
      <formula>AND(E17&gt;=$T$8,$T15="↑")</formula>
    </cfRule>
    <cfRule type="expression" dxfId="1081" priority="154">
      <formula>AND(E17&gt;$T$8,$T15="↓")</formula>
    </cfRule>
    <cfRule type="expression" dxfId="1080" priority="153">
      <formula>AND(E17&lt;=$T$8,$T15="↓")</formula>
    </cfRule>
  </conditionalFormatting>
  <conditionalFormatting sqref="E20:R20">
    <cfRule type="expression" dxfId="1069" priority="149">
      <formula>AND(E20&gt;$T$8,$T18="↓")</formula>
    </cfRule>
    <cfRule type="expression" dxfId="1068" priority="148">
      <formula>AND(E20&lt;=$T$8,$T18="↓")</formula>
    </cfRule>
    <cfRule type="expression" dxfId="1067" priority="151">
      <formula>AND(E20&lt;$T$8,$T18="↑")</formula>
    </cfRule>
    <cfRule type="expression" dxfId="1066" priority="150">
      <formula>AND(E20&gt;=$T$8,$T18="↑")</formula>
    </cfRule>
  </conditionalFormatting>
  <conditionalFormatting sqref="E23:R23">
    <cfRule type="expression" dxfId="1055" priority="145">
      <formula>AND(E23&gt;=$T$8,$T21="↑")</formula>
    </cfRule>
    <cfRule type="expression" dxfId="1054" priority="146">
      <formula>AND(E23&lt;$T$8,$T21="↑")</formula>
    </cfRule>
    <cfRule type="expression" dxfId="1053" priority="144">
      <formula>AND(E23&gt;$T$8,$T21="↓")</formula>
    </cfRule>
    <cfRule type="expression" dxfId="1052" priority="143">
      <formula>AND(E23&lt;=$T$8,$T21="↓")</formula>
    </cfRule>
  </conditionalFormatting>
  <conditionalFormatting sqref="E26:R26">
    <cfRule type="expression" dxfId="1041" priority="139">
      <formula>AND(E26&gt;$T$8,$T24="↓")</formula>
    </cfRule>
    <cfRule type="expression" dxfId="1040" priority="138">
      <formula>AND(E26&lt;=$T$8,$T24="↓")</formula>
    </cfRule>
    <cfRule type="expression" dxfId="1039" priority="141">
      <formula>AND(E26&lt;$T$8,$T24="↑")</formula>
    </cfRule>
    <cfRule type="expression" dxfId="1038" priority="140">
      <formula>AND(E26&gt;=$T$8,$T24="↑")</formula>
    </cfRule>
  </conditionalFormatting>
  <conditionalFormatting sqref="E29:R29">
    <cfRule type="expression" dxfId="1027" priority="135">
      <formula>AND(E29&gt;=$T$8,$T27="↑")</formula>
    </cfRule>
    <cfRule type="expression" dxfId="1026" priority="133">
      <formula>AND(E29&lt;=$T$8,$T27="↓")</formula>
    </cfRule>
    <cfRule type="expression" dxfId="1025" priority="136">
      <formula>AND(E29&lt;$T$8,$T27="↑")</formula>
    </cfRule>
    <cfRule type="expression" dxfId="1024" priority="134">
      <formula>AND(E29&gt;$T$8,$T27="↓")</formula>
    </cfRule>
  </conditionalFormatting>
  <conditionalFormatting sqref="E32:R32">
    <cfRule type="expression" dxfId="1013" priority="128">
      <formula>AND(E32&lt;=$T$8,$T30="↓")</formula>
    </cfRule>
    <cfRule type="expression" dxfId="1012" priority="131">
      <formula>AND(E32&lt;$T$8,$T30="↑")</formula>
    </cfRule>
    <cfRule type="expression" dxfId="1011" priority="130">
      <formula>AND(E32&gt;=$T$8,$T30="↑")</formula>
    </cfRule>
    <cfRule type="expression" dxfId="1010" priority="129">
      <formula>AND(E32&gt;$T$8,$T30="↓")</formula>
    </cfRule>
  </conditionalFormatting>
  <conditionalFormatting sqref="E35:R35">
    <cfRule type="expression" dxfId="999" priority="123">
      <formula>AND(E35&lt;=$T$8,$T33="↓")</formula>
    </cfRule>
    <cfRule type="expression" dxfId="998" priority="124">
      <formula>AND(E35&gt;$T$8,$T33="↓")</formula>
    </cfRule>
    <cfRule type="expression" dxfId="997" priority="125">
      <formula>AND(E35&gt;=$T$8,$T33="↑")</formula>
    </cfRule>
    <cfRule type="expression" dxfId="996" priority="126">
      <formula>AND(E35&lt;$T$8,$T33="↑")</formula>
    </cfRule>
  </conditionalFormatting>
  <conditionalFormatting sqref="E38:R38">
    <cfRule type="expression" dxfId="985" priority="121">
      <formula>AND(E38&lt;$T$8,$T36="↑")</formula>
    </cfRule>
    <cfRule type="expression" dxfId="984" priority="120">
      <formula>AND(E38&gt;=$T$8,$T36="↑")</formula>
    </cfRule>
    <cfRule type="expression" dxfId="983" priority="119">
      <formula>AND(E38&gt;$T$8,$T36="↓")</formula>
    </cfRule>
    <cfRule type="expression" dxfId="982" priority="118">
      <formula>AND(E38&lt;=$T$8,$T36="↓")</formula>
    </cfRule>
  </conditionalFormatting>
  <conditionalFormatting sqref="E41:R41">
    <cfRule type="expression" dxfId="971" priority="113">
      <formula>AND(E41&lt;=$T$8,$T39="↓")</formula>
    </cfRule>
    <cfRule type="expression" dxfId="970" priority="114">
      <formula>AND(E41&gt;$T$8,$T39="↓")</formula>
    </cfRule>
    <cfRule type="expression" dxfId="969" priority="115">
      <formula>AND(E41&gt;=$T$8,$T39="↑")</formula>
    </cfRule>
    <cfRule type="expression" dxfId="968" priority="116">
      <formula>AND(E41&lt;$T$8,$T39="↑")</formula>
    </cfRule>
  </conditionalFormatting>
  <hyperlinks>
    <hyperlink ref="B10" location="'KPI1'!A1" display="'KPI1'!A1" xr:uid="{D1F3A9B0-389C-40E4-9F2D-FE47003527CE}"/>
    <hyperlink ref="C10" location="'KPI2'!A1" display="'KPI2'!A1" xr:uid="{92046FAF-8C73-420C-9C2E-AFF64D63CB2C}"/>
    <hyperlink ref="D10" location="'KPI3'!A1" display="'KPI3'!A1" xr:uid="{97894DF9-B1D8-4BFA-A60C-135D78175ACB}"/>
    <hyperlink ref="E10" location="'KPI4'!A1" display="'KPI4'!A1" xr:uid="{7721E1E3-B176-4D6F-B9CC-6E0CB5A71967}"/>
    <hyperlink ref="F10" location="'KPI5'!A1" display="'KPI5'!A1" xr:uid="{29EF3D98-3B20-4B4B-8F08-2B6764DA6717}"/>
    <hyperlink ref="G10" location="'KPI6'!A1" display="'KPI6'!A1" xr:uid="{B3D8990F-23EE-416F-9B62-E75440D7CC0B}"/>
  </hyperlinks>
  <pageMargins left="0.25" right="0.25" top="0.75" bottom="0.75" header="0.3" footer="0.3"/>
  <pageSetup scale="46" orientation="landscape" r:id="rId1"/>
  <ignoredErrors>
    <ignoredError sqref="E14:P14 Q13:R14 Q12:R12 Q15:R15 E17:R17 Q16:R16 E20:R20 Q18:R18 Q19:R19 E23:R23 Q21:R22 E26:R26 Q24:R25 E29:R29 Q27:R28 E32:R32 Q30:R31"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11" id="{BA7B8171-34AE-48FF-B24F-C8B34A07DC62}">
            <xm:f>'O1'!$F$12=Data!$H$2</xm:f>
            <x14:dxf>
              <numFmt numFmtId="13" formatCode="0%"/>
            </x14:dxf>
          </x14:cfRule>
          <x14:cfRule type="expression" priority="110" id="{A19984A0-EA24-473E-92E3-B44F98A57847}">
            <xm:f>'O1'!$F$12=Data!$H$3</xm:f>
            <x14:dxf>
              <numFmt numFmtId="165" formatCode="0.0%"/>
            </x14:dxf>
          </x14:cfRule>
          <x14:cfRule type="expression" priority="109" id="{CC84475C-5589-442A-B371-A13D514380D8}">
            <xm:f>'O1'!$F$12=Data!$H$4</xm:f>
            <x14:dxf>
              <numFmt numFmtId="3" formatCode="#,##0"/>
            </x14:dxf>
          </x14:cfRule>
          <x14:cfRule type="expression" priority="108" id="{59B4341A-E55A-4C6C-A2EF-D37EF7FD4E0B}">
            <xm:f>'O1'!$F$12=Data!$H$5</xm:f>
            <x14:dxf>
              <numFmt numFmtId="173" formatCode="0.0"/>
            </x14:dxf>
          </x14:cfRule>
          <x14:cfRule type="expression" priority="107" id="{3534ED80-43B4-4236-BC62-05739C22E184}">
            <xm:f>'O1'!$F$12=Data!$H$6</xm:f>
            <x14:dxf>
              <numFmt numFmtId="169" formatCode="#,##0\ &quot;$&quot;"/>
            </x14:dxf>
          </x14:cfRule>
          <x14:cfRule type="expression" priority="106" id="{8062B4DF-A02E-4154-AB76-6C5ABCB81ACF}">
            <xm:f>'O1'!$F$12=Data!$H$7</xm:f>
            <x14:dxf>
              <numFmt numFmtId="168" formatCode="[$$-409]#,##0"/>
            </x14:dxf>
          </x14:cfRule>
          <x14:cfRule type="expression" priority="105" id="{59FF7234-4CF0-4651-8968-4E67991054AD}">
            <xm:f>'O1'!$F$12=Data!$H$8</xm:f>
            <x14:dxf>
              <numFmt numFmtId="167" formatCode="#,##0\ [$€-1]"/>
            </x14:dxf>
          </x14:cfRule>
          <x14:cfRule type="expression" priority="104" id="{891E4E50-7C21-428D-A86A-512A18719A2F}">
            <xm:f>'O1'!$F$12=Data!$H$9</xm:f>
            <x14:dxf>
              <numFmt numFmtId="172" formatCode="[$£-809]#,##0"/>
            </x14:dxf>
          </x14:cfRule>
          <x14:cfRule type="expression" priority="103" id="{533380D7-E15B-40DA-8BEE-8A28FF01FA3D}">
            <xm:f>'O1'!$F$12=Data!$H$10</xm:f>
            <x14:dxf>
              <numFmt numFmtId="166" formatCode="[$R$-416]\ #,##0"/>
            </x14:dxf>
          </x14:cfRule>
          <x14:cfRule type="expression" priority="102" id="{B50F2855-6453-4BF8-A368-2BCC795624AF}">
            <xm:f>'O1'!$F$12=Data!$H$11</xm:f>
            <x14:dxf>
              <numFmt numFmtId="171" formatCode="[$-F400]h:mm:ss\ AM/PM"/>
            </x14:dxf>
          </x14:cfRule>
          <xm:sqref>E12:R13</xm:sqref>
        </x14:conditionalFormatting>
        <x14:conditionalFormatting xmlns:xm="http://schemas.microsoft.com/office/excel/2006/main">
          <x14:cfRule type="expression" priority="98" id="{9A224D60-43E2-41F9-8910-AFDC00FF90D0}">
            <xm:f>'O1'!$F$13=Data!$H$5</xm:f>
            <x14:dxf>
              <numFmt numFmtId="173" formatCode="0.0"/>
            </x14:dxf>
          </x14:cfRule>
          <x14:cfRule type="expression" priority="101" id="{AB4A1B08-AF73-4A3D-BC6E-89B3E94740A2}">
            <xm:f>'O1'!$F$13=Data!$H$2</xm:f>
            <x14:dxf>
              <numFmt numFmtId="13" formatCode="0%"/>
            </x14:dxf>
          </x14:cfRule>
          <x14:cfRule type="expression" priority="100" id="{72E599B0-C27D-403D-8FAC-6248A2CEC1CF}">
            <xm:f>'O1'!$F$13=Data!$H$3</xm:f>
            <x14:dxf>
              <numFmt numFmtId="165" formatCode="0.0%"/>
            </x14:dxf>
          </x14:cfRule>
          <x14:cfRule type="expression" priority="99" id="{FC5E06A8-AEF9-4005-A23A-AC53F29EE3DB}">
            <xm:f>'O1'!$F$13=Data!$H$4</xm:f>
            <x14:dxf>
              <numFmt numFmtId="3" formatCode="#,##0"/>
            </x14:dxf>
          </x14:cfRule>
          <x14:cfRule type="expression" priority="97" id="{61EB5824-F3C6-4122-9ED9-B3628679AD66}">
            <xm:f>'O1'!$F$13=Data!$H$6</xm:f>
            <x14:dxf>
              <numFmt numFmtId="169" formatCode="#,##0\ &quot;$&quot;"/>
            </x14:dxf>
          </x14:cfRule>
          <x14:cfRule type="expression" priority="96" id="{6E780C7E-6452-4B25-9490-66AC14E2B84D}">
            <xm:f>'O1'!$F$13=Data!$H$7</xm:f>
            <x14:dxf>
              <numFmt numFmtId="168" formatCode="[$$-409]#,##0"/>
            </x14:dxf>
          </x14:cfRule>
          <x14:cfRule type="expression" priority="95" id="{5FBD5ADC-B98A-4971-80BF-8743DA6AF249}">
            <xm:f>'O1'!$F$13=Data!$H$8</xm:f>
            <x14:dxf>
              <numFmt numFmtId="167" formatCode="#,##0\ [$€-1]"/>
            </x14:dxf>
          </x14:cfRule>
          <x14:cfRule type="expression" priority="94" id="{BD268B40-66DD-412C-9E7A-664BEC349A51}">
            <xm:f>'O1'!$F$13=Data!$H$9</xm:f>
            <x14:dxf>
              <numFmt numFmtId="172" formatCode="[$£-809]#,##0"/>
            </x14:dxf>
          </x14:cfRule>
          <x14:cfRule type="expression" priority="92" id="{A0DE8C01-A4E5-4F85-B137-8041DD8AB460}">
            <xm:f>'O1'!$F$13=Data!$H$11</xm:f>
            <x14:dxf>
              <numFmt numFmtId="171" formatCode="[$-F400]h:mm:ss\ AM/PM"/>
            </x14:dxf>
          </x14:cfRule>
          <x14:cfRule type="expression" priority="93" id="{D8BB5936-4D84-446D-AE15-B1468EB4CCCB}">
            <xm:f>'O1'!$F$13=Data!$H$10</xm:f>
            <x14:dxf>
              <numFmt numFmtId="166" formatCode="[$R$-416]\ #,##0"/>
            </x14:dxf>
          </x14:cfRule>
          <xm:sqref>E15:R16</xm:sqref>
        </x14:conditionalFormatting>
        <x14:conditionalFormatting xmlns:xm="http://schemas.microsoft.com/office/excel/2006/main">
          <x14:cfRule type="expression" priority="88" id="{CDDEFC6C-B5B2-4C09-AA27-737ED1A61B92}">
            <xm:f>'O1'!$F$14=Data!$H$5</xm:f>
            <x14:dxf>
              <numFmt numFmtId="173" formatCode="0.0"/>
            </x14:dxf>
          </x14:cfRule>
          <x14:cfRule type="expression" priority="86" id="{6102E00E-3456-44AD-8F8A-8F8DE221DA3B}">
            <xm:f>'O1'!$F$14=Data!$H$7</xm:f>
            <x14:dxf>
              <numFmt numFmtId="168" formatCode="[$$-409]#,##0"/>
            </x14:dxf>
          </x14:cfRule>
          <x14:cfRule type="expression" priority="91" id="{4B70D6C7-522F-41B3-A0E0-2234E115C237}">
            <xm:f>'O1'!$F$14=Data!$H$2</xm:f>
            <x14:dxf>
              <numFmt numFmtId="13" formatCode="0%"/>
            </x14:dxf>
          </x14:cfRule>
          <x14:cfRule type="expression" priority="90" id="{B4F679A3-F979-4167-AB59-9A779871B042}">
            <xm:f>'O1'!$F$14=Data!$H$3</xm:f>
            <x14:dxf>
              <numFmt numFmtId="165" formatCode="0.0%"/>
            </x14:dxf>
          </x14:cfRule>
          <x14:cfRule type="expression" priority="89" id="{C2464A14-B856-4F31-8C29-7932C56B9242}">
            <xm:f>'O1'!$F$14=Data!$H$4</xm:f>
            <x14:dxf>
              <numFmt numFmtId="3" formatCode="#,##0"/>
            </x14:dxf>
          </x14:cfRule>
          <x14:cfRule type="expression" priority="87" id="{E5108C22-7D7E-4FF1-946E-FB1054945EB2}">
            <xm:f>'O1'!$F$14=Data!$H$6</xm:f>
            <x14:dxf>
              <numFmt numFmtId="169" formatCode="#,##0\ &quot;$&quot;"/>
            </x14:dxf>
          </x14:cfRule>
          <x14:cfRule type="expression" priority="85" id="{4BA854DA-FC36-4F1B-AEDA-FAB5FC058F80}">
            <xm:f>'O1'!$F$14=Data!$H$8</xm:f>
            <x14:dxf>
              <numFmt numFmtId="167" formatCode="#,##0\ [$€-1]"/>
            </x14:dxf>
          </x14:cfRule>
          <x14:cfRule type="expression" priority="84" id="{C0302AA7-1315-4A9C-8967-12E650B07BEB}">
            <xm:f>'O1'!$F$14=Data!$H$9</xm:f>
            <x14:dxf>
              <numFmt numFmtId="172" formatCode="[$£-809]#,##0"/>
            </x14:dxf>
          </x14:cfRule>
          <x14:cfRule type="expression" priority="83" id="{53721BEF-D258-4A22-957F-64E1F981B6CE}">
            <xm:f>'O1'!$F$14=Data!$H$10</xm:f>
            <x14:dxf>
              <numFmt numFmtId="166" formatCode="[$R$-416]\ #,##0"/>
            </x14:dxf>
          </x14:cfRule>
          <x14:cfRule type="expression" priority="82" id="{501F01AE-A59C-4587-81AE-2555ED02D479}">
            <xm:f>'O1'!$F$14=Data!$H$11</xm:f>
            <x14:dxf>
              <numFmt numFmtId="171" formatCode="[$-F400]h:mm:ss\ AM/PM"/>
            </x14:dxf>
          </x14:cfRule>
          <xm:sqref>E18:R19</xm:sqref>
        </x14:conditionalFormatting>
        <x14:conditionalFormatting xmlns:xm="http://schemas.microsoft.com/office/excel/2006/main">
          <x14:cfRule type="expression" priority="76" id="{4E2BC0C0-C444-4CDB-B5EA-84EF1A0AEB7D}">
            <xm:f>'O1'!$F$15=Data!$H$7</xm:f>
            <x14:dxf>
              <numFmt numFmtId="168" formatCode="[$$-409]#,##0"/>
            </x14:dxf>
          </x14:cfRule>
          <x14:cfRule type="expression" priority="72" id="{2DD08B66-877F-447C-9922-B8152958B4E6}">
            <xm:f>'O1'!$F$15=Data!$H$11</xm:f>
            <x14:dxf>
              <numFmt numFmtId="171" formatCode="[$-F400]h:mm:ss\ AM/PM"/>
            </x14:dxf>
          </x14:cfRule>
          <x14:cfRule type="expression" priority="77" id="{12602709-C206-4001-93E0-8FDABC2C1261}">
            <xm:f>'O1'!$F$15=Data!$H$6</xm:f>
            <x14:dxf>
              <numFmt numFmtId="169" formatCode="#,##0\ &quot;$&quot;"/>
            </x14:dxf>
          </x14:cfRule>
          <x14:cfRule type="expression" priority="75" id="{A8FE5928-B023-40F6-A2D2-E3C596D5D298}">
            <xm:f>'O1'!$F$15=Data!$H$8</xm:f>
            <x14:dxf>
              <numFmt numFmtId="167" formatCode="#,##0\ [$€-1]"/>
            </x14:dxf>
          </x14:cfRule>
          <x14:cfRule type="expression" priority="81" id="{6BB7FCF9-258A-4E86-B100-C11AFA4A1CEA}">
            <xm:f>'O1'!$F$15=Data!$H$2</xm:f>
            <x14:dxf>
              <numFmt numFmtId="13" formatCode="0%"/>
            </x14:dxf>
          </x14:cfRule>
          <x14:cfRule type="expression" priority="80" id="{8B21DC7A-B07F-4DFC-8F3A-9FF33B3B275D}">
            <xm:f>'O1'!$F$15=Data!$H$3</xm:f>
            <x14:dxf>
              <numFmt numFmtId="165" formatCode="0.0%"/>
            </x14:dxf>
          </x14:cfRule>
          <x14:cfRule type="expression" priority="79" id="{9D0087F2-04AB-42BC-9E43-95776604B38D}">
            <xm:f>'O1'!$F$15=Data!$H$4</xm:f>
            <x14:dxf>
              <numFmt numFmtId="3" formatCode="#,##0"/>
            </x14:dxf>
          </x14:cfRule>
          <x14:cfRule type="expression" priority="78" id="{07A52206-8D41-43F5-B413-80D259972AE3}">
            <xm:f>'O1'!$F$15=Data!$H$5</xm:f>
            <x14:dxf>
              <numFmt numFmtId="173" formatCode="0.0"/>
            </x14:dxf>
          </x14:cfRule>
          <x14:cfRule type="expression" priority="74" id="{AB3BA429-37D8-4E78-855C-D45FAD608C94}">
            <xm:f>'O1'!$F$15=Data!$H$9</xm:f>
            <x14:dxf>
              <numFmt numFmtId="172" formatCode="[$£-809]#,##0"/>
            </x14:dxf>
          </x14:cfRule>
          <x14:cfRule type="expression" priority="73" id="{3746B991-5926-4B54-8B52-2F4992CAE513}">
            <xm:f>'O1'!$F$15=Data!$H$10</xm:f>
            <x14:dxf>
              <numFmt numFmtId="166" formatCode="[$R$-416]\ #,##0"/>
            </x14:dxf>
          </x14:cfRule>
          <xm:sqref>E21:R22</xm:sqref>
        </x14:conditionalFormatting>
        <x14:conditionalFormatting xmlns:xm="http://schemas.microsoft.com/office/excel/2006/main">
          <x14:cfRule type="expression" priority="65" id="{1DE97742-AFC6-42B9-A840-328E68BE02EC}">
            <xm:f>'O1'!$F$16=Data!$H$8</xm:f>
            <x14:dxf>
              <numFmt numFmtId="167" formatCode="#,##0\ [$€-1]"/>
            </x14:dxf>
          </x14:cfRule>
          <x14:cfRule type="expression" priority="70" id="{C3F0D53A-3B86-44A8-A657-B2CF00AD23DB}">
            <xm:f>'O1'!$F$16=Data!$H$3</xm:f>
            <x14:dxf>
              <numFmt numFmtId="165" formatCode="0.0%"/>
            </x14:dxf>
          </x14:cfRule>
          <x14:cfRule type="expression" priority="71" id="{4FCFC791-4DA2-47EE-BE4D-B8F126B91C64}">
            <xm:f>'O1'!$F$16=Data!$H$2</xm:f>
            <x14:dxf>
              <numFmt numFmtId="13" formatCode="0%"/>
            </x14:dxf>
          </x14:cfRule>
          <x14:cfRule type="expression" priority="64" id="{2511F949-EE5F-4A2E-8B2F-5AB980F43596}">
            <xm:f>'O1'!$F$16=Data!$H$9</xm:f>
            <x14:dxf>
              <numFmt numFmtId="172" formatCode="[$£-809]#,##0"/>
            </x14:dxf>
          </x14:cfRule>
          <x14:cfRule type="expression" priority="63" id="{EAFA099D-4EBE-4B55-9F57-157854F43EB7}">
            <xm:f>'O1'!$F$16=Data!$H$10</xm:f>
            <x14:dxf>
              <numFmt numFmtId="166" formatCode="[$R$-416]\ #,##0"/>
            </x14:dxf>
          </x14:cfRule>
          <x14:cfRule type="expression" priority="62" id="{DF9B35F8-A567-40D2-A5D7-7BBB650F5273}">
            <xm:f>'O1'!$F$16=Data!$H$11</xm:f>
            <x14:dxf>
              <numFmt numFmtId="171" formatCode="[$-F400]h:mm:ss\ AM/PM"/>
            </x14:dxf>
          </x14:cfRule>
          <x14:cfRule type="expression" priority="66" id="{4F096AE7-4455-4379-9960-292079E336F1}">
            <xm:f>'O1'!$F$16=Data!$H$7</xm:f>
            <x14:dxf>
              <numFmt numFmtId="168" formatCode="[$$-409]#,##0"/>
            </x14:dxf>
          </x14:cfRule>
          <x14:cfRule type="expression" priority="68" id="{75AE9C51-4675-4F16-A161-0803383276A7}">
            <xm:f>'O1'!$F$16=Data!$H$5</xm:f>
            <x14:dxf>
              <numFmt numFmtId="173" formatCode="0.0"/>
            </x14:dxf>
          </x14:cfRule>
          <x14:cfRule type="expression" priority="69" id="{1FB60EFA-C387-4723-B8CF-961BCA853D9A}">
            <xm:f>'O1'!$F$16=Data!$H$4</xm:f>
            <x14:dxf>
              <numFmt numFmtId="3" formatCode="#,##0"/>
            </x14:dxf>
          </x14:cfRule>
          <x14:cfRule type="expression" priority="67" id="{4AD690F8-825F-46C4-BEB4-14CCA00B661E}">
            <xm:f>'O1'!$F$16=Data!$H$6</xm:f>
            <x14:dxf>
              <numFmt numFmtId="169" formatCode="#,##0\ &quot;$&quot;"/>
            </x14:dxf>
          </x14:cfRule>
          <xm:sqref>E24:R25</xm:sqref>
        </x14:conditionalFormatting>
        <x14:conditionalFormatting xmlns:xm="http://schemas.microsoft.com/office/excel/2006/main">
          <x14:cfRule type="expression" priority="54" id="{94B5DAA7-168E-479D-BAE6-98F311EBCE92}">
            <xm:f>'O1'!$F$17=Data!$H$9</xm:f>
            <x14:dxf>
              <numFmt numFmtId="172" formatCode="[$£-809]#,##0"/>
            </x14:dxf>
          </x14:cfRule>
          <x14:cfRule type="expression" priority="53" id="{D2B309C8-CB71-4546-944A-A551BEF46AA8}">
            <xm:f>'O1'!$F$17=Data!$H$10</xm:f>
            <x14:dxf>
              <numFmt numFmtId="166" formatCode="[$R$-416]\ #,##0"/>
            </x14:dxf>
          </x14:cfRule>
          <x14:cfRule type="expression" priority="61" id="{0110A30D-E9A0-4515-8C0B-F5527D6DFFAB}">
            <xm:f>'O1'!$F$17=Data!$H$2</xm:f>
            <x14:dxf>
              <numFmt numFmtId="13" formatCode="0%"/>
            </x14:dxf>
          </x14:cfRule>
          <x14:cfRule type="expression" priority="60" id="{582A65CF-CE9C-4444-B058-4A95DFED8CB3}">
            <xm:f>'O1'!$F$17=Data!$H$3</xm:f>
            <x14:dxf>
              <numFmt numFmtId="165" formatCode="0.0%"/>
            </x14:dxf>
          </x14:cfRule>
          <x14:cfRule type="expression" priority="59" id="{2A3C9E4D-94A3-46C4-9129-240829E9D020}">
            <xm:f>'O1'!$F$17=Data!$H$4</xm:f>
            <x14:dxf>
              <numFmt numFmtId="3" formatCode="#,##0"/>
            </x14:dxf>
          </x14:cfRule>
          <x14:cfRule type="expression" priority="58" id="{E93FC4BF-2963-4870-8235-343C546EDEE1}">
            <xm:f>'O1'!$F$17=Data!$H$5</xm:f>
            <x14:dxf>
              <numFmt numFmtId="173" formatCode="0.0"/>
            </x14:dxf>
          </x14:cfRule>
          <x14:cfRule type="expression" priority="52" id="{0C552ED9-C7AD-4419-B1AA-CF8EF12C4974}">
            <xm:f>'O1'!$F$17=Data!$H$11</xm:f>
            <x14:dxf>
              <numFmt numFmtId="171" formatCode="[$-F400]h:mm:ss\ AM/PM"/>
            </x14:dxf>
          </x14:cfRule>
          <x14:cfRule type="expression" priority="55" id="{28222C7D-2189-4DD3-A3B4-CDAEF05C63EB}">
            <xm:f>'O1'!$F$17=Data!$H$8</xm:f>
            <x14:dxf>
              <numFmt numFmtId="167" formatCode="#,##0\ [$€-1]"/>
            </x14:dxf>
          </x14:cfRule>
          <x14:cfRule type="expression" priority="57" id="{5E6A97B9-2698-492A-8101-8872EAEEFE60}">
            <xm:f>'O1'!$F$17=Data!$H$6</xm:f>
            <x14:dxf>
              <numFmt numFmtId="169" formatCode="#,##0\ &quot;$&quot;"/>
            </x14:dxf>
          </x14:cfRule>
          <x14:cfRule type="expression" priority="56" id="{233F67C4-B0AA-4CBF-A391-C87EC4D21253}">
            <xm:f>'O1'!$F$17=Data!$H$7</xm:f>
            <x14:dxf>
              <numFmt numFmtId="168" formatCode="[$$-409]#,##0"/>
            </x14:dxf>
          </x14:cfRule>
          <xm:sqref>E27:R28</xm:sqref>
        </x14:conditionalFormatting>
        <x14:conditionalFormatting xmlns:xm="http://schemas.microsoft.com/office/excel/2006/main">
          <x14:cfRule type="expression" priority="48" id="{119AC653-5C28-4B0D-8A2A-5D95D1A609AE}">
            <xm:f>'O1'!$F$18=Data!$H$5</xm:f>
            <x14:dxf>
              <numFmt numFmtId="173" formatCode="0.0"/>
            </x14:dxf>
          </x14:cfRule>
          <x14:cfRule type="expression" priority="42" id="{4F032F98-2ED2-40C2-85E2-EAB81BEF4409}">
            <xm:f>'O1'!$F$18=Data!$H$11</xm:f>
            <x14:dxf>
              <numFmt numFmtId="171" formatCode="[$-F400]h:mm:ss\ AM/PM"/>
            </x14:dxf>
          </x14:cfRule>
          <x14:cfRule type="expression" priority="43" id="{38A32CC5-6CF5-424B-8A5A-921C208BEF80}">
            <xm:f>'O1'!$F$18=Data!$H$10</xm:f>
            <x14:dxf>
              <numFmt numFmtId="166" formatCode="[$R$-416]\ #,##0"/>
            </x14:dxf>
          </x14:cfRule>
          <x14:cfRule type="expression" priority="44" id="{1E4BD663-E35B-4850-B3C8-A0F8F2CD5B2C}">
            <xm:f>'O1'!$F$18=Data!$H$9</xm:f>
            <x14:dxf>
              <numFmt numFmtId="172" formatCode="[$£-809]#,##0"/>
            </x14:dxf>
          </x14:cfRule>
          <x14:cfRule type="expression" priority="45" id="{D62D3110-D58A-4F9A-9A10-4D260643E1F7}">
            <xm:f>'O1'!$F$18=Data!$H$8</xm:f>
            <x14:dxf>
              <numFmt numFmtId="167" formatCode="#,##0\ [$€-1]"/>
            </x14:dxf>
          </x14:cfRule>
          <x14:cfRule type="expression" priority="46" id="{21AB7B38-020B-4D45-B85F-FFCC27878A5F}">
            <xm:f>'O1'!$F$18=Data!$H$7</xm:f>
            <x14:dxf>
              <numFmt numFmtId="168" formatCode="[$$-409]#,##0"/>
            </x14:dxf>
          </x14:cfRule>
          <x14:cfRule type="expression" priority="47" id="{F35D113D-FE42-477A-AAAB-73F058DBA3A1}">
            <xm:f>'O1'!$F$18=Data!$H$6</xm:f>
            <x14:dxf>
              <numFmt numFmtId="169" formatCode="#,##0\ &quot;$&quot;"/>
            </x14:dxf>
          </x14:cfRule>
          <x14:cfRule type="expression" priority="50" id="{4C298A74-6456-4552-92C9-B914C198D05C}">
            <xm:f>'O1'!$F$18=Data!$H$3</xm:f>
            <x14:dxf>
              <numFmt numFmtId="165" formatCode="0.0%"/>
            </x14:dxf>
          </x14:cfRule>
          <x14:cfRule type="expression" priority="51" id="{463FBEAD-D0C4-4371-96ED-B5BCF671CD60}">
            <xm:f>'O1'!$F$18=Data!$H$2</xm:f>
            <x14:dxf>
              <numFmt numFmtId="13" formatCode="0%"/>
            </x14:dxf>
          </x14:cfRule>
          <x14:cfRule type="expression" priority="49" id="{891E34AE-CB39-40A5-91EE-4F5C95B181FB}">
            <xm:f>'O1'!$F$18=Data!$H$4</xm:f>
            <x14:dxf>
              <numFmt numFmtId="3" formatCode="#,##0"/>
            </x14:dxf>
          </x14:cfRule>
          <xm:sqref>E30:R31</xm:sqref>
        </x14:conditionalFormatting>
        <x14:conditionalFormatting xmlns:xm="http://schemas.microsoft.com/office/excel/2006/main">
          <x14:cfRule type="expression" priority="34" id="{2CBD6E20-8337-4891-A119-5C3E42DCC745}">
            <xm:f>'O1'!$F$19=Data!$H$9</xm:f>
            <x14:dxf>
              <numFmt numFmtId="172" formatCode="[$£-809]#,##0"/>
            </x14:dxf>
          </x14:cfRule>
          <x14:cfRule type="expression" priority="33" id="{C7941A35-7603-441C-AD1C-571BC438E69A}">
            <xm:f>'O1'!$F$19=Data!$H$10</xm:f>
            <x14:dxf>
              <numFmt numFmtId="166" formatCode="[$R$-416]\ #,##0"/>
            </x14:dxf>
          </x14:cfRule>
          <x14:cfRule type="expression" priority="35" id="{BF4AA7F7-049F-4E8B-9D17-A663837A92D0}">
            <xm:f>'O1'!$F$19=Data!$H$8</xm:f>
            <x14:dxf>
              <numFmt numFmtId="167" formatCode="#,##0\ [$€-1]"/>
            </x14:dxf>
          </x14:cfRule>
          <x14:cfRule type="expression" priority="36" id="{72E920BA-450F-4EE4-94AA-6C80AA7F2B6F}">
            <xm:f>'O1'!$F$19=Data!$H$7</xm:f>
            <x14:dxf>
              <numFmt numFmtId="168" formatCode="[$$-409]#,##0"/>
            </x14:dxf>
          </x14:cfRule>
          <x14:cfRule type="expression" priority="37" id="{890D0727-1116-4124-9F6D-14252D82420F}">
            <xm:f>'O1'!$F$19=Data!$H$6</xm:f>
            <x14:dxf>
              <numFmt numFmtId="169" formatCode="#,##0\ &quot;$&quot;"/>
            </x14:dxf>
          </x14:cfRule>
          <x14:cfRule type="expression" priority="38" id="{F50DA199-C8EC-4275-976C-FD1FC7545E68}">
            <xm:f>'O1'!$F$19=Data!$H$5</xm:f>
            <x14:dxf>
              <numFmt numFmtId="173" formatCode="0.0"/>
            </x14:dxf>
          </x14:cfRule>
          <x14:cfRule type="expression" priority="39" id="{C774D2A2-8EE3-46AB-94B7-0DC2B12407B1}">
            <xm:f>'O1'!$F$19=Data!$H$4</xm:f>
            <x14:dxf>
              <numFmt numFmtId="3" formatCode="#,##0"/>
            </x14:dxf>
          </x14:cfRule>
          <x14:cfRule type="expression" priority="40" id="{52D2452F-785F-467A-A6E1-C062652DDB33}">
            <xm:f>'O1'!$F$19=Data!$H$3</xm:f>
            <x14:dxf>
              <numFmt numFmtId="165" formatCode="0.0%"/>
            </x14:dxf>
          </x14:cfRule>
          <x14:cfRule type="expression" priority="41" id="{72A4EC61-CCEC-419F-9BDB-4DEF46707004}">
            <xm:f>'O1'!$F$19=Data!$H$2</xm:f>
            <x14:dxf>
              <numFmt numFmtId="13" formatCode="0%"/>
            </x14:dxf>
          </x14:cfRule>
          <x14:cfRule type="expression" priority="32" id="{66859598-D1F7-4F78-B01F-1CB4F5870F79}">
            <xm:f>'O1'!$F$19=Data!$H$11</xm:f>
            <x14:dxf>
              <numFmt numFmtId="171" formatCode="[$-F400]h:mm:ss\ AM/PM"/>
            </x14:dxf>
          </x14:cfRule>
          <xm:sqref>E33:R34</xm:sqref>
        </x14:conditionalFormatting>
        <x14:conditionalFormatting xmlns:xm="http://schemas.microsoft.com/office/excel/2006/main">
          <x14:cfRule type="expression" priority="23" id="{08D89F1A-B864-41CE-BDD3-9BB2312A8E47}">
            <xm:f>'O1'!$F$20=Data!$H$10</xm:f>
            <x14:dxf>
              <numFmt numFmtId="166" formatCode="[$R$-416]\ #,##0"/>
            </x14:dxf>
          </x14:cfRule>
          <x14:cfRule type="expression" priority="24" id="{8BB1F024-EE4B-4463-A5FB-C7768A0D93C0}">
            <xm:f>'O1'!$F$20=Data!$H$9</xm:f>
            <x14:dxf>
              <numFmt numFmtId="172" formatCode="[$£-809]#,##0"/>
            </x14:dxf>
          </x14:cfRule>
          <x14:cfRule type="expression" priority="25" id="{F46CCF77-99BE-455F-B39B-AD5DCDE738FF}">
            <xm:f>'O1'!$F$20=Data!$H$8</xm:f>
            <x14:dxf>
              <numFmt numFmtId="167" formatCode="#,##0\ [$€-1]"/>
            </x14:dxf>
          </x14:cfRule>
          <x14:cfRule type="expression" priority="26" id="{5212692F-0982-439A-80AD-3486084121CE}">
            <xm:f>'O1'!$F$20=Data!$H$7</xm:f>
            <x14:dxf>
              <numFmt numFmtId="168" formatCode="[$$-409]#,##0"/>
            </x14:dxf>
          </x14:cfRule>
          <x14:cfRule type="expression" priority="27" id="{E5258832-A591-4973-B061-6EC409ECB935}">
            <xm:f>'O1'!$F$20=Data!$H$6</xm:f>
            <x14:dxf>
              <numFmt numFmtId="169" formatCode="#,##0\ &quot;$&quot;"/>
            </x14:dxf>
          </x14:cfRule>
          <x14:cfRule type="expression" priority="28" id="{327F3CAF-E75E-4212-A996-B570D25C1712}">
            <xm:f>'O1'!$F$20=Data!$H$5</xm:f>
            <x14:dxf>
              <numFmt numFmtId="173" formatCode="0.0"/>
            </x14:dxf>
          </x14:cfRule>
          <x14:cfRule type="expression" priority="29" id="{04799E33-9FA8-49F0-8A01-D017E0BA7DA3}">
            <xm:f>'O1'!$F$20=Data!$H$4</xm:f>
            <x14:dxf>
              <numFmt numFmtId="3" formatCode="#,##0"/>
            </x14:dxf>
          </x14:cfRule>
          <x14:cfRule type="expression" priority="30" id="{389F94C0-9A73-4385-B0A0-45DD0C3479AC}">
            <xm:f>'O1'!$F$20=Data!$H$3</xm:f>
            <x14:dxf>
              <numFmt numFmtId="165" formatCode="0.0%"/>
            </x14:dxf>
          </x14:cfRule>
          <x14:cfRule type="expression" priority="31" id="{5054E912-3953-4167-9A06-8AC6DD538F1F}">
            <xm:f>'O1'!$F$20=Data!$H$2</xm:f>
            <x14:dxf>
              <numFmt numFmtId="13" formatCode="0%"/>
            </x14:dxf>
          </x14:cfRule>
          <x14:cfRule type="expression" priority="22" id="{A54E2557-00E4-4487-90F3-3B4CF491536A}">
            <xm:f>'O1'!$F$20=Data!$H$11</xm:f>
            <x14:dxf>
              <numFmt numFmtId="171" formatCode="[$-F400]h:mm:ss\ AM/PM"/>
            </x14:dxf>
          </x14:cfRule>
          <xm:sqref>E36:R37</xm:sqref>
        </x14:conditionalFormatting>
        <x14:conditionalFormatting xmlns:xm="http://schemas.microsoft.com/office/excel/2006/main">
          <x14:cfRule type="expression" priority="17" id="{7374B978-CE5D-4D11-9F06-185EC3FCD9BB}">
            <xm:f>'O1'!$F$21=Data!$H$6</xm:f>
            <x14:dxf>
              <numFmt numFmtId="169" formatCode="#,##0\ &quot;$&quot;"/>
            </x14:dxf>
          </x14:cfRule>
          <x14:cfRule type="expression" priority="18" id="{72ADE4AC-E0FC-40F0-8F68-98161D64E327}">
            <xm:f>'O1'!$F$21=Data!$H$5</xm:f>
            <x14:dxf>
              <numFmt numFmtId="173" formatCode="0.0"/>
            </x14:dxf>
          </x14:cfRule>
          <x14:cfRule type="expression" priority="19" id="{F6823F1C-FD57-4490-B20D-E345754417F5}">
            <xm:f>'O1'!$F$21=Data!$H$4</xm:f>
            <x14:dxf>
              <numFmt numFmtId="3" formatCode="#,##0"/>
            </x14:dxf>
          </x14:cfRule>
          <x14:cfRule type="expression" priority="21" id="{8DACB77E-3235-4582-845B-F293CDB0F866}">
            <xm:f>'O1'!$F$21=Data!$H$2</xm:f>
            <x14:dxf>
              <numFmt numFmtId="13" formatCode="0%"/>
            </x14:dxf>
          </x14:cfRule>
          <x14:cfRule type="expression" priority="16" id="{9D61E670-A0F5-41A5-BF7F-BDB2E13BB6B6}">
            <xm:f>'O1'!$F$21=Data!$H$7</xm:f>
            <x14:dxf>
              <numFmt numFmtId="168" formatCode="[$$-409]#,##0"/>
            </x14:dxf>
          </x14:cfRule>
          <x14:cfRule type="expression" priority="15" id="{037F7960-1757-4E45-9C78-7939FE279341}">
            <xm:f>'O1'!$F$21=Data!$H$8</xm:f>
            <x14:dxf>
              <numFmt numFmtId="167" formatCode="#,##0\ [$€-1]"/>
            </x14:dxf>
          </x14:cfRule>
          <x14:cfRule type="expression" priority="14" id="{A6E31463-6BFA-40B0-83F3-BF28E15F12D9}">
            <xm:f>'O1'!$F$21=Data!$H$9</xm:f>
            <x14:dxf>
              <numFmt numFmtId="172" formatCode="[$£-809]#,##0"/>
            </x14:dxf>
          </x14:cfRule>
          <x14:cfRule type="expression" priority="13" id="{F8C1AB4D-B1F1-4B47-8746-F1EF79EB65D8}">
            <xm:f>'O1'!$F$21=Data!$H$10</xm:f>
            <x14:dxf>
              <numFmt numFmtId="166" formatCode="[$R$-416]\ #,##0"/>
            </x14:dxf>
          </x14:cfRule>
          <x14:cfRule type="expression" priority="12" id="{50FFC306-F8B9-479A-80C9-096CAF4143AC}">
            <xm:f>'O1'!$F$21=Data!$H$11</xm:f>
            <x14:dxf>
              <numFmt numFmtId="171" formatCode="[$-F400]h:mm:ss\ AM/PM"/>
            </x14:dxf>
          </x14:cfRule>
          <x14:cfRule type="expression" priority="20" id="{72507062-C880-41C1-8AC0-7BDDC3075BCB}">
            <xm:f>'O1'!$F$21=Data!$H$3</xm:f>
            <x14:dxf>
              <numFmt numFmtId="165" formatCode="0.0%"/>
            </x14:dxf>
          </x14:cfRule>
          <xm:sqref>E39:R40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BA738-6E61-4709-B4F4-03BBA4BC488E}">
  <dimension ref="A1:U87"/>
  <sheetViews>
    <sheetView showGridLines="0" showRowColHeaders="0" zoomScaleNormal="100" workbookViewId="0">
      <selection activeCell="D10" sqref="D10"/>
    </sheetView>
  </sheetViews>
  <sheetFormatPr baseColWidth="10" defaultColWidth="11.5" defaultRowHeight="15"/>
  <cols>
    <col min="1" max="1" width="2.6640625" style="290" customWidth="1"/>
    <col min="2" max="18" width="16.6640625" style="290" customWidth="1"/>
    <col min="19" max="19" width="1.5" style="290" customWidth="1"/>
    <col min="20" max="20" width="5.5" style="290" hidden="1" customWidth="1"/>
    <col min="21" max="21" width="11" style="290" hidden="1" customWidth="1"/>
    <col min="22" max="16384" width="11.5" style="290"/>
  </cols>
  <sheetData>
    <row r="1" spans="1:21" s="249" customFormat="1" ht="39" customHeight="1">
      <c r="A1" s="248"/>
      <c r="B1" s="248"/>
      <c r="C1" s="248"/>
      <c r="D1" s="248"/>
      <c r="E1" s="248"/>
      <c r="F1" s="248"/>
      <c r="G1" s="248"/>
      <c r="H1" s="248"/>
      <c r="I1" s="248"/>
      <c r="J1" s="248"/>
      <c r="K1" s="248"/>
      <c r="L1" s="248"/>
      <c r="M1" s="248"/>
      <c r="N1" s="248"/>
      <c r="O1" s="248"/>
      <c r="P1" s="248"/>
      <c r="Q1" s="248"/>
      <c r="R1" s="248"/>
      <c r="S1" s="248"/>
    </row>
    <row r="2" spans="1:21" s="308" customFormat="1" ht="25" customHeight="1"/>
    <row r="3" spans="1:21" s="287" customFormat="1" ht="18" customHeight="1"/>
    <row r="4" spans="1:21" s="287" customFormat="1" ht="18" customHeight="1"/>
    <row r="5" spans="1:21" s="287" customFormat="1" ht="20" customHeight="1"/>
    <row r="6" spans="1:21" ht="20" customHeight="1">
      <c r="A6" s="288"/>
      <c r="B6" s="288"/>
      <c r="C6" s="288"/>
      <c r="D6" s="288"/>
      <c r="E6" s="288"/>
      <c r="F6" s="404"/>
      <c r="G6" s="288"/>
      <c r="H6" s="288"/>
    </row>
    <row r="7" spans="1:21" ht="20" customHeight="1">
      <c r="A7" s="92"/>
      <c r="B7" s="303" t="str">
        <f>Lan!F43&amp;" - "&amp;Goals!C13</f>
        <v>2.3. Objetivos - Mejorar la productividad de los procesos operativos en planta.</v>
      </c>
      <c r="C7" s="346"/>
      <c r="D7" s="346"/>
      <c r="E7" s="346"/>
      <c r="F7" s="346"/>
      <c r="G7" s="346"/>
      <c r="H7" s="346"/>
      <c r="I7" s="93"/>
      <c r="J7" s="93"/>
      <c r="K7" s="93"/>
      <c r="L7" s="93"/>
      <c r="M7" s="93"/>
      <c r="N7" s="93"/>
      <c r="O7" s="93"/>
      <c r="P7" s="93"/>
      <c r="Q7" s="93"/>
      <c r="R7" s="93"/>
    </row>
    <row r="8" spans="1:21" ht="20" customHeight="1">
      <c r="A8" s="92"/>
      <c r="B8" s="334" t="str">
        <f>Lan!F44</f>
        <v>Los objetivos proporcionan hitos específicos con un cronograma específico para lograr una meta.</v>
      </c>
      <c r="C8" s="92"/>
      <c r="D8" s="92"/>
      <c r="E8" s="92"/>
      <c r="F8" s="92"/>
      <c r="G8" s="92"/>
      <c r="H8" s="92"/>
      <c r="I8" s="93"/>
      <c r="J8" s="93"/>
      <c r="K8" s="93"/>
      <c r="L8" s="93"/>
      <c r="M8" s="93"/>
      <c r="N8" s="93"/>
      <c r="O8" s="93"/>
      <c r="P8" s="93"/>
      <c r="Q8" s="93"/>
      <c r="R8" s="93"/>
      <c r="T8" s="415">
        <f>Settings!E22</f>
        <v>0.9</v>
      </c>
      <c r="U8" s="93"/>
    </row>
    <row r="9" spans="1:21" ht="20" customHeight="1" thickBot="1">
      <c r="A9" s="92"/>
      <c r="B9" s="92"/>
      <c r="C9" s="92"/>
      <c r="D9" s="92"/>
      <c r="E9" s="92"/>
      <c r="F9" s="92"/>
      <c r="G9" s="92"/>
      <c r="H9" s="92"/>
      <c r="I9" s="93"/>
      <c r="J9" s="93"/>
      <c r="K9" s="93"/>
      <c r="L9" s="93"/>
      <c r="M9" s="93"/>
      <c r="N9" s="93"/>
      <c r="O9" s="93"/>
      <c r="P9" s="93"/>
      <c r="Q9" s="93"/>
      <c r="R9" s="93"/>
      <c r="T9" s="415"/>
      <c r="U9" s="93"/>
    </row>
    <row r="10" spans="1:21" ht="20" customHeight="1" thickTop="1" thickBot="1">
      <c r="A10" s="92"/>
      <c r="B10" s="419" t="str">
        <f>IF(Goals!$C$12="","",Goals!$B$12)</f>
        <v>Meta 1</v>
      </c>
      <c r="C10" s="420" t="str">
        <f>IF(Goals!$C$13="","",Goals!$B$13)</f>
        <v>Meta 2</v>
      </c>
      <c r="D10" s="419" t="str">
        <f>IF(Goals!$C$14="","",Goals!$B$14)</f>
        <v>Meta 3</v>
      </c>
      <c r="E10" s="419" t="str">
        <f>IF(Goals!$C$15="","",Goals!$B$15)</f>
        <v>Meta 4</v>
      </c>
      <c r="F10" s="419" t="str">
        <f>IF(Goals!$C$16="","",Goals!$B$16)</f>
        <v>Meta 5</v>
      </c>
      <c r="G10" s="419" t="str">
        <f>IF(Goals!$C$17="","",Goals!$B$17)</f>
        <v>Meta 6</v>
      </c>
      <c r="H10" s="409"/>
      <c r="I10" s="410"/>
      <c r="J10" s="410"/>
      <c r="K10" s="410"/>
      <c r="L10" s="410"/>
      <c r="M10" s="410"/>
      <c r="N10" s="410"/>
      <c r="O10" s="410"/>
      <c r="P10" s="410"/>
      <c r="Q10" s="410"/>
      <c r="R10" s="411"/>
      <c r="T10" s="415"/>
      <c r="U10" s="93"/>
    </row>
    <row r="11" spans="1:21" ht="30" customHeight="1" thickTop="1" thickBot="1">
      <c r="A11" s="92"/>
      <c r="B11" s="503" t="str">
        <f>Lan!$F$45</f>
        <v>Objetivos</v>
      </c>
      <c r="C11" s="504"/>
      <c r="D11" s="365" t="str">
        <f>Lan!$F$57&amp;" / "&amp;Lan!$F$58</f>
        <v>Actual / Meta</v>
      </c>
      <c r="E11" s="365" t="str">
        <f>Data!$A$2</f>
        <v>ENE</v>
      </c>
      <c r="F11" s="365" t="str">
        <f>Data!$A$3</f>
        <v>FEB</v>
      </c>
      <c r="G11" s="365" t="str">
        <f>Data!$A$4</f>
        <v>MAR</v>
      </c>
      <c r="H11" s="365" t="str">
        <f>Data!$A$5</f>
        <v>ABR</v>
      </c>
      <c r="I11" s="365" t="str">
        <f>Data!$A$6</f>
        <v>MAY</v>
      </c>
      <c r="J11" s="365" t="str">
        <f>Data!$A$7</f>
        <v>JUN</v>
      </c>
      <c r="K11" s="365" t="str">
        <f>Data!$A$8</f>
        <v>JUL</v>
      </c>
      <c r="L11" s="365" t="str">
        <f>Data!$A$9</f>
        <v>AGO</v>
      </c>
      <c r="M11" s="365" t="str">
        <f>Data!$A$10</f>
        <v>SEP</v>
      </c>
      <c r="N11" s="365" t="str">
        <f>Data!$A$11</f>
        <v>OCT</v>
      </c>
      <c r="O11" s="365" t="str">
        <f>Data!$A$12</f>
        <v>NOV</v>
      </c>
      <c r="P11" s="365" t="str">
        <f>Data!$A$13</f>
        <v>DIC</v>
      </c>
      <c r="Q11" s="365" t="str">
        <f>Lan!F60</f>
        <v>Acumulado</v>
      </c>
      <c r="R11" s="365" t="str">
        <f>Data!$A$15</f>
        <v>TOTAL</v>
      </c>
      <c r="T11" s="93"/>
      <c r="U11" s="93"/>
    </row>
    <row r="12" spans="1:21" ht="22" customHeight="1">
      <c r="A12" s="288"/>
      <c r="B12" s="497" t="str">
        <f>IF('O2'!B12="","",'O2'!B12)</f>
        <v>Reducir en 15% los tiempos de producción promedio por lote para diciembre 2025.</v>
      </c>
      <c r="C12" s="498"/>
      <c r="D12" s="400" t="str">
        <f>IF(B12="","",Lan!$F$57)</f>
        <v>Actual</v>
      </c>
      <c r="E12" s="94">
        <v>1</v>
      </c>
      <c r="F12" s="94">
        <v>1</v>
      </c>
      <c r="G12" s="94">
        <v>2</v>
      </c>
      <c r="H12" s="94">
        <v>3</v>
      </c>
      <c r="I12" s="94">
        <v>2</v>
      </c>
      <c r="J12" s="94">
        <v>3</v>
      </c>
      <c r="K12" s="94">
        <v>2</v>
      </c>
      <c r="L12" s="94">
        <v>3</v>
      </c>
      <c r="M12" s="94">
        <v>2</v>
      </c>
      <c r="N12" s="94">
        <v>3</v>
      </c>
      <c r="O12" s="94">
        <v>2</v>
      </c>
      <c r="P12" s="94">
        <v>2</v>
      </c>
      <c r="Q12" s="402">
        <f t="array" ref="Q12">IF(B12="","",IFERROR(IF('O2'!$H$12=Data!$J$4,INDEX('KPI2'!E12:P12,COUNT(E12:P12)),IF('O2'!$H$12=Data!$J$2,SUM('KPI2'!E12:P12),IF('O2'!$H$12=Data!$J$3,AVERAGEIF(E12:P12,"&lt;&gt;",E12:P12)))),0))</f>
        <v>2.1666666666666665</v>
      </c>
      <c r="R12" s="402">
        <f t="array" ref="R12">IF(B12="","",IFERROR(IF('O2'!$H$12=Data!$J$4,INDEX('KPI2'!E12:P12,COUNT(E12:P12)),IF('O2'!$H$12=Data!$J$2,SUM('KPI2'!E12:P12),IF('O2'!$H$12=Data!$J$3,AVERAGEIF(E12:P12,"&lt;&gt;",E12:P12)))),0))</f>
        <v>2.1666666666666665</v>
      </c>
      <c r="T12" s="93" t="str">
        <f>'O2'!G12</f>
        <v>↓</v>
      </c>
      <c r="U12" s="93"/>
    </row>
    <row r="13" spans="1:21" ht="22" customHeight="1">
      <c r="A13" s="288"/>
      <c r="B13" s="499"/>
      <c r="C13" s="500"/>
      <c r="D13" s="401" t="str">
        <f>IF(B12="","",Lan!$F$58)</f>
        <v>Meta</v>
      </c>
      <c r="E13" s="95">
        <v>1</v>
      </c>
      <c r="F13" s="95">
        <v>1</v>
      </c>
      <c r="G13" s="95">
        <v>1</v>
      </c>
      <c r="H13" s="95">
        <v>1</v>
      </c>
      <c r="I13" s="95">
        <v>1</v>
      </c>
      <c r="J13" s="95">
        <v>1</v>
      </c>
      <c r="K13" s="95">
        <v>1</v>
      </c>
      <c r="L13" s="95">
        <v>2</v>
      </c>
      <c r="M13" s="95">
        <v>2</v>
      </c>
      <c r="N13" s="95">
        <v>4</v>
      </c>
      <c r="O13" s="95">
        <v>2</v>
      </c>
      <c r="P13" s="95">
        <v>3</v>
      </c>
      <c r="Q13" s="401">
        <f>IF(B12="","",IFERROR(IF('O2'!$H$12=Data!$J$4,T13,IF('O2'!$H$12=Data!$J$2,SUMIF('KPI2'!E12:P12,"&lt;&gt;",E13:P13),IF('O2'!$H$12=Data!$J$3,AVERAGEIF(E13:P13,"&lt;&gt;",E13:P13)))),0))</f>
        <v>1.6666666666666667</v>
      </c>
      <c r="R13" s="403">
        <f t="array" ref="R13">IF(B12="","",IFERROR(IF('O2'!$H$12=Data!$J$4,INDEX('KPI2'!E13:P13,COUNT(E13:P13)),IF('O2'!$H$12=Data!$J$2,SUM('KPI2'!E13:P13),IF('O2'!$H$12=Data!$J$3,AVERAGE(E13:P13)))),0))</f>
        <v>1.6666666666666667</v>
      </c>
      <c r="T13" s="93">
        <f>IF(P12&lt;&gt;"",P13,IF(O12&lt;&gt;"",O13,IF(N12&lt;&gt;"",N13,IF(M12&lt;&gt;"",M13,IF(L12&lt;&gt;"",L13,IF(K12&lt;&gt;"",K13,IF(J12&lt;&gt;"",J13,IF(I12&lt;&gt;"",I13,IF(H12&lt;&gt;"",H13,IF(G12&lt;&gt;"",G13,IF(F12&lt;&gt;"",F13,IF(E12&lt;&gt;"",E13,0))))))))))))</f>
        <v>3</v>
      </c>
      <c r="U13" s="93"/>
    </row>
    <row r="14" spans="1:21" s="309" customFormat="1" ht="22" customHeight="1" thickBot="1">
      <c r="B14" s="505"/>
      <c r="C14" s="506"/>
      <c r="D14" s="214" t="str">
        <f>IF(B12="","","%")</f>
        <v>%</v>
      </c>
      <c r="E14" s="215">
        <f t="shared" ref="E14:R14" si="0">IFERROR(IF($B12="","",E12/E13),"")</f>
        <v>1</v>
      </c>
      <c r="F14" s="215">
        <f t="shared" si="0"/>
        <v>1</v>
      </c>
      <c r="G14" s="215">
        <f t="shared" si="0"/>
        <v>2</v>
      </c>
      <c r="H14" s="215">
        <f t="shared" si="0"/>
        <v>3</v>
      </c>
      <c r="I14" s="215">
        <f t="shared" si="0"/>
        <v>2</v>
      </c>
      <c r="J14" s="215">
        <f t="shared" si="0"/>
        <v>3</v>
      </c>
      <c r="K14" s="215">
        <f t="shared" si="0"/>
        <v>2</v>
      </c>
      <c r="L14" s="215">
        <f t="shared" si="0"/>
        <v>1.5</v>
      </c>
      <c r="M14" s="215">
        <f t="shared" si="0"/>
        <v>1</v>
      </c>
      <c r="N14" s="215">
        <f t="shared" si="0"/>
        <v>0.75</v>
      </c>
      <c r="O14" s="215">
        <f t="shared" si="0"/>
        <v>1</v>
      </c>
      <c r="P14" s="215">
        <f t="shared" si="0"/>
        <v>0.66666666666666663</v>
      </c>
      <c r="Q14" s="215">
        <f t="shared" si="0"/>
        <v>1.2999999999999998</v>
      </c>
      <c r="R14" s="215">
        <f t="shared" si="0"/>
        <v>1.2999999999999998</v>
      </c>
      <c r="T14" s="416"/>
      <c r="U14" s="416"/>
    </row>
    <row r="15" spans="1:21" ht="22" customHeight="1">
      <c r="A15" s="288"/>
      <c r="B15" s="497" t="str">
        <f>IF('O2'!B13="","",'O2'!B13)</f>
        <v/>
      </c>
      <c r="C15" s="498"/>
      <c r="D15" s="400" t="str">
        <f>IF(B15="","",Lan!$F$57)</f>
        <v/>
      </c>
      <c r="E15" s="94">
        <v>2</v>
      </c>
      <c r="F15" s="94">
        <v>4</v>
      </c>
      <c r="G15" s="94">
        <v>2</v>
      </c>
      <c r="H15" s="94">
        <v>3</v>
      </c>
      <c r="I15" s="94">
        <v>2</v>
      </c>
      <c r="J15" s="94">
        <v>3</v>
      </c>
      <c r="K15" s="94">
        <v>2</v>
      </c>
      <c r="L15" s="94">
        <v>3</v>
      </c>
      <c r="M15" s="94">
        <v>2</v>
      </c>
      <c r="N15" s="94">
        <v>3</v>
      </c>
      <c r="O15" s="94">
        <v>3</v>
      </c>
      <c r="P15" s="94">
        <v>3</v>
      </c>
      <c r="Q15" s="402" t="str">
        <f t="array" ref="Q15">IF(B15="","",IFERROR(IF('O2'!$H$13=Data!$J$4,INDEX('KPI2'!E15:P15,COUNT(E15:P15)),IF('O2'!$H$13=Data!$J$2,SUM('KPI2'!E15:P15),IF('O2'!$H$13=Data!$J$3,AVERAGEIF(E15:P15,"&lt;&gt;",E15:P15)))),0))</f>
        <v/>
      </c>
      <c r="R15" s="402" t="str">
        <f t="array" ref="R15">IF(B15="","",IFERROR(IF('O2'!$H$13=Data!$J$4,INDEX('KPI2'!E15:P15,COUNT(E15:P15)),IF('O2'!$H$13=Data!$J$2,SUM('KPI2'!E15:P15),IF('O2'!$H$13=Data!$J$3,AVERAGEIF(E15:P15,"&lt;&gt;",E15:P15)))),0))</f>
        <v/>
      </c>
      <c r="T15" s="93">
        <f>'O2'!G13</f>
        <v>0</v>
      </c>
      <c r="U15" s="93"/>
    </row>
    <row r="16" spans="1:21" ht="22" customHeight="1">
      <c r="A16" s="288"/>
      <c r="B16" s="499"/>
      <c r="C16" s="500"/>
      <c r="D16" s="401" t="str">
        <f>IF(B15="","",Lan!$F$58)</f>
        <v/>
      </c>
      <c r="E16" s="95">
        <v>3</v>
      </c>
      <c r="F16" s="95">
        <v>3</v>
      </c>
      <c r="G16" s="95">
        <v>2</v>
      </c>
      <c r="H16" s="95">
        <v>2</v>
      </c>
      <c r="I16" s="95">
        <v>2</v>
      </c>
      <c r="J16" s="95">
        <v>2</v>
      </c>
      <c r="K16" s="95">
        <v>2</v>
      </c>
      <c r="L16" s="95">
        <v>3</v>
      </c>
      <c r="M16" s="95">
        <v>2</v>
      </c>
      <c r="N16" s="95">
        <v>4</v>
      </c>
      <c r="O16" s="95">
        <v>2</v>
      </c>
      <c r="P16" s="95">
        <v>3</v>
      </c>
      <c r="Q16" s="401" t="str">
        <f>IF(B15="","",IFERROR(IF('O2'!$H$13=Data!$J$4,T16,IF('O2'!$H$13=Data!$J$2,SUMIF('KPI2'!E15:P15,"&lt;&gt;",E16:P16),IF('O2'!$H$13=Data!$J$3,AVERAGEIF(E16:P16,"&lt;&gt;",E16:P16)))),0))</f>
        <v/>
      </c>
      <c r="R16" s="403" t="str">
        <f t="array" ref="R16">IF(B15="","",IFERROR(IF('O2'!$H$13=Data!$J$4,INDEX('KPI2'!E16:P16,COUNT(E16:P16)),IF('O2'!$H$13=Data!$J$2,SUM('KPI2'!E16:P16),IF('O2'!$H$13=Data!$J$3,AVERAGE(E16:P16)))),0))</f>
        <v/>
      </c>
      <c r="T16" s="93">
        <f>IF(P15&lt;&gt;"",P16,IF(O15&lt;&gt;"",O16,IF(N15&lt;&gt;"",N16,IF(M15&lt;&gt;"",M16,IF(L15&lt;&gt;"",L16,IF(K15&lt;&gt;"",K16,IF(J15&lt;&gt;"",J16,IF(I15&lt;&gt;"",I16,IF(H15&lt;&gt;"",H16,IF(G15&lt;&gt;"",G16,IF(F15&lt;&gt;"",F16,IF(E15&lt;&gt;"",E16,0))))))))))))</f>
        <v>3</v>
      </c>
      <c r="U16" s="93"/>
    </row>
    <row r="17" spans="1:21" s="309" customFormat="1" ht="22" customHeight="1" thickBot="1">
      <c r="B17" s="505"/>
      <c r="C17" s="506"/>
      <c r="D17" s="214" t="str">
        <f>IF(B15="","","%")</f>
        <v/>
      </c>
      <c r="E17" s="215" t="str">
        <f t="shared" ref="E17:R17" si="1">IFERROR(IF($B15="","",E15/E16),"")</f>
        <v/>
      </c>
      <c r="F17" s="215" t="str">
        <f t="shared" si="1"/>
        <v/>
      </c>
      <c r="G17" s="215" t="str">
        <f t="shared" si="1"/>
        <v/>
      </c>
      <c r="H17" s="215" t="str">
        <f t="shared" si="1"/>
        <v/>
      </c>
      <c r="I17" s="215" t="str">
        <f t="shared" si="1"/>
        <v/>
      </c>
      <c r="J17" s="215" t="str">
        <f t="shared" si="1"/>
        <v/>
      </c>
      <c r="K17" s="215" t="str">
        <f t="shared" si="1"/>
        <v/>
      </c>
      <c r="L17" s="215" t="str">
        <f t="shared" si="1"/>
        <v/>
      </c>
      <c r="M17" s="215" t="str">
        <f t="shared" si="1"/>
        <v/>
      </c>
      <c r="N17" s="215" t="str">
        <f t="shared" si="1"/>
        <v/>
      </c>
      <c r="O17" s="215" t="str">
        <f t="shared" si="1"/>
        <v/>
      </c>
      <c r="P17" s="215" t="str">
        <f t="shared" si="1"/>
        <v/>
      </c>
      <c r="Q17" s="215" t="str">
        <f t="shared" si="1"/>
        <v/>
      </c>
      <c r="R17" s="215" t="str">
        <f t="shared" si="1"/>
        <v/>
      </c>
      <c r="T17" s="416"/>
      <c r="U17" s="416"/>
    </row>
    <row r="18" spans="1:21" ht="22" customHeight="1">
      <c r="A18" s="288"/>
      <c r="B18" s="497" t="str">
        <f>IF('O2'!B14="","",'O2'!B14)</f>
        <v/>
      </c>
      <c r="C18" s="498"/>
      <c r="D18" s="400" t="str">
        <f>IF(B18="","",Lan!$F$57)</f>
        <v/>
      </c>
      <c r="E18" s="94"/>
      <c r="F18" s="94"/>
      <c r="G18" s="94"/>
      <c r="H18" s="94"/>
      <c r="I18" s="94"/>
      <c r="J18" s="94"/>
      <c r="K18" s="94"/>
      <c r="L18" s="94"/>
      <c r="M18" s="94"/>
      <c r="N18" s="94"/>
      <c r="O18" s="94"/>
      <c r="P18" s="94"/>
      <c r="Q18" s="402" t="str">
        <f t="array" ref="Q18">IF(B18="","",IFERROR(IF('O2'!$H$14=Data!$J$4,INDEX('KPI2'!E18:P18,COUNT(E18:P18)),IF('O2'!$H$14=Data!$J$2,SUM('KPI2'!E18:P18),IF('O2'!$H$14=Data!$J$3,AVERAGEIF(E18:P18,"&lt;&gt;",E18:P18)))),0))</f>
        <v/>
      </c>
      <c r="R18" s="402" t="str">
        <f t="array" ref="R18">IF(B18="","",IFERROR(IF('O2'!$H$14=Data!$J$4,INDEX('KPI2'!E18:P18,COUNT(E18:P18)),IF('O2'!$H$14=Data!$J$2,SUM('KPI2'!E18:P18),IF('O2'!$H$14=Data!$J$3,AVERAGEIF(E18:P18,"&lt;&gt;",E18:P18)))),0))</f>
        <v/>
      </c>
      <c r="T18" s="93">
        <f>'O2'!G14</f>
        <v>0</v>
      </c>
      <c r="U18" s="93"/>
    </row>
    <row r="19" spans="1:21" ht="22" customHeight="1">
      <c r="A19" s="288"/>
      <c r="B19" s="499"/>
      <c r="C19" s="500"/>
      <c r="D19" s="401" t="str">
        <f>IF(B18="","",Lan!$F$58)</f>
        <v/>
      </c>
      <c r="E19" s="95"/>
      <c r="F19" s="95"/>
      <c r="G19" s="95"/>
      <c r="H19" s="95"/>
      <c r="I19" s="95"/>
      <c r="J19" s="95"/>
      <c r="K19" s="95"/>
      <c r="L19" s="95"/>
      <c r="M19" s="95"/>
      <c r="N19" s="95"/>
      <c r="O19" s="95"/>
      <c r="P19" s="95"/>
      <c r="Q19" s="401" t="str">
        <f>IF(B18="","",IFERROR(IF('O2'!$H$14=Data!$J$4,T19,IF('O2'!$H$14=Data!$J$2,SUMIF('KPI2'!E18:P18,"&lt;&gt;",E19:P19),IF('O2'!$H$14=Data!$J$3,AVERAGEIF(E19:P19,"&lt;&gt;",E19:P19)))),0))</f>
        <v/>
      </c>
      <c r="R19" s="403" t="str">
        <f t="array" ref="R19">IF(B18="","",IFERROR(IF('O2'!$H$14=Data!$J$4,INDEX('KPI2'!E19:P19,COUNT(E19:P19)),IF('O2'!$H$14=Data!$J$2,SUM('KPI2'!E19:P19),IF('O2'!$H$14=Data!$J$3,AVERAGE(E19:P19)))),0))</f>
        <v/>
      </c>
      <c r="T19" s="93">
        <f>IF(P18&lt;&gt;"",P19,IF(O18&lt;&gt;"",O19,IF(N18&lt;&gt;"",N19,IF(M18&lt;&gt;"",M19,IF(L18&lt;&gt;"",L19,IF(K18&lt;&gt;"",K19,IF(J18&lt;&gt;"",J19,IF(I18&lt;&gt;"",I19,IF(H18&lt;&gt;"",H19,IF(G18&lt;&gt;"",G19,IF(F18&lt;&gt;"",F19,IF(E18&lt;&gt;"",E19,0))))))))))))</f>
        <v>0</v>
      </c>
      <c r="U19" s="93"/>
    </row>
    <row r="20" spans="1:21" s="309" customFormat="1" ht="22" customHeight="1" thickBot="1">
      <c r="B20" s="505"/>
      <c r="C20" s="506"/>
      <c r="D20" s="214" t="str">
        <f>IF(B18="","","%")</f>
        <v/>
      </c>
      <c r="E20" s="215" t="str">
        <f t="shared" ref="E20:R20" si="2">IFERROR(IF($B18="","",E18/E19),"")</f>
        <v/>
      </c>
      <c r="F20" s="215" t="str">
        <f t="shared" si="2"/>
        <v/>
      </c>
      <c r="G20" s="215" t="str">
        <f t="shared" si="2"/>
        <v/>
      </c>
      <c r="H20" s="215" t="str">
        <f t="shared" si="2"/>
        <v/>
      </c>
      <c r="I20" s="215" t="str">
        <f t="shared" si="2"/>
        <v/>
      </c>
      <c r="J20" s="215" t="str">
        <f t="shared" si="2"/>
        <v/>
      </c>
      <c r="K20" s="215" t="str">
        <f t="shared" si="2"/>
        <v/>
      </c>
      <c r="L20" s="215" t="str">
        <f t="shared" si="2"/>
        <v/>
      </c>
      <c r="M20" s="215" t="str">
        <f t="shared" si="2"/>
        <v/>
      </c>
      <c r="N20" s="215" t="str">
        <f t="shared" si="2"/>
        <v/>
      </c>
      <c r="O20" s="215" t="str">
        <f t="shared" si="2"/>
        <v/>
      </c>
      <c r="P20" s="215" t="str">
        <f t="shared" si="2"/>
        <v/>
      </c>
      <c r="Q20" s="215" t="str">
        <f t="shared" si="2"/>
        <v/>
      </c>
      <c r="R20" s="215" t="str">
        <f t="shared" si="2"/>
        <v/>
      </c>
      <c r="T20" s="416"/>
      <c r="U20" s="416"/>
    </row>
    <row r="21" spans="1:21" ht="22" customHeight="1">
      <c r="A21" s="288"/>
      <c r="B21" s="497" t="str">
        <f>IF('O2'!B15="","",'O2'!B15)</f>
        <v/>
      </c>
      <c r="C21" s="498"/>
      <c r="D21" s="400" t="str">
        <f>IF(B21="","",Lan!$F$57)</f>
        <v/>
      </c>
      <c r="E21" s="94"/>
      <c r="F21" s="94"/>
      <c r="G21" s="94"/>
      <c r="H21" s="94"/>
      <c r="I21" s="94"/>
      <c r="J21" s="94"/>
      <c r="K21" s="94"/>
      <c r="L21" s="94"/>
      <c r="M21" s="94"/>
      <c r="N21" s="94"/>
      <c r="O21" s="94"/>
      <c r="P21" s="94"/>
      <c r="Q21" s="402" t="str">
        <f t="array" ref="Q21">IF(B21="","",IFERROR(IF('O2'!$H$15=Data!$J$4,INDEX('KPI2'!E21:P21,COUNT(E21:P21)),IF('O2'!$H$15=Data!$J$2,SUM('KPI2'!E21:P21),IF('O2'!$H$15=Data!$J$3,AVERAGEIF(E21:P21,"&lt;&gt;",E21:P21)))),0))</f>
        <v/>
      </c>
      <c r="R21" s="402" t="str">
        <f t="array" ref="R21">IF(B21="","",IFERROR(IF('O2'!$H$15=Data!$J$4,INDEX('KPI2'!E21:P21,COUNT(E21:P21)),IF('O2'!$H$15=Data!$J$2,SUM('KPI2'!E21:P21),IF('O2'!$H$15=Data!$J$3,AVERAGEIF(E21:P21,"&lt;&gt;",E21:P21)))),0))</f>
        <v/>
      </c>
      <c r="T21" s="93">
        <f>'O2'!G15</f>
        <v>0</v>
      </c>
      <c r="U21" s="93"/>
    </row>
    <row r="22" spans="1:21" ht="22" customHeight="1">
      <c r="A22" s="288"/>
      <c r="B22" s="499"/>
      <c r="C22" s="500"/>
      <c r="D22" s="401" t="str">
        <f>IF(B21="","",Lan!$F$58)</f>
        <v/>
      </c>
      <c r="E22" s="95"/>
      <c r="F22" s="95"/>
      <c r="G22" s="95"/>
      <c r="H22" s="95"/>
      <c r="I22" s="95"/>
      <c r="J22" s="95"/>
      <c r="K22" s="95"/>
      <c r="L22" s="95"/>
      <c r="M22" s="95"/>
      <c r="N22" s="95"/>
      <c r="O22" s="95"/>
      <c r="P22" s="95"/>
      <c r="Q22" s="401" t="str">
        <f>IF(B21="","",IFERROR(IF('O2'!$H$15=Data!$J$4,T22,IF('O2'!$H$15=Data!$J$2,SUMIF('KPI2'!E21:P21,"&lt;&gt;",E22:P22),IF('O2'!$H$15=Data!$J$3,AVERAGEIF(E22:P22,"&lt;&gt;",E22:P22)))),0))</f>
        <v/>
      </c>
      <c r="R22" s="403" t="str">
        <f t="array" ref="R22">IF(B21="","",IFERROR(IF('O2'!$H$15=Data!$J$4,INDEX('KPI2'!E22:P22,COUNT(E22:P22)),IF('O2'!$H$15=Data!$J$2,SUM('KPI2'!E22:P22),IF('O2'!$H$15=Data!$J$3,AVERAGE(E22:P22)))),0))</f>
        <v/>
      </c>
      <c r="T22" s="93">
        <f>IF(P21&lt;&gt;"",P22,IF(O21&lt;&gt;"",O22,IF(N21&lt;&gt;"",N22,IF(M21&lt;&gt;"",M22,IF(L21&lt;&gt;"",L22,IF(K21&lt;&gt;"",K22,IF(J21&lt;&gt;"",J22,IF(I21&lt;&gt;"",I22,IF(H21&lt;&gt;"",H22,IF(G21&lt;&gt;"",G22,IF(F21&lt;&gt;"",F22,IF(E21&lt;&gt;"",E22,0))))))))))))</f>
        <v>0</v>
      </c>
      <c r="U22" s="93"/>
    </row>
    <row r="23" spans="1:21" s="309" customFormat="1" ht="22" customHeight="1" thickBot="1">
      <c r="B23" s="501"/>
      <c r="C23" s="502"/>
      <c r="D23" s="216" t="str">
        <f>IF(B21="","","%")</f>
        <v/>
      </c>
      <c r="E23" s="215" t="str">
        <f t="shared" ref="E23:R23" si="3">IFERROR(IF($B21="","",E21/E22),"")</f>
        <v/>
      </c>
      <c r="F23" s="215" t="str">
        <f t="shared" si="3"/>
        <v/>
      </c>
      <c r="G23" s="215" t="str">
        <f t="shared" si="3"/>
        <v/>
      </c>
      <c r="H23" s="215" t="str">
        <f t="shared" si="3"/>
        <v/>
      </c>
      <c r="I23" s="215" t="str">
        <f t="shared" si="3"/>
        <v/>
      </c>
      <c r="J23" s="215" t="str">
        <f t="shared" si="3"/>
        <v/>
      </c>
      <c r="K23" s="215" t="str">
        <f t="shared" si="3"/>
        <v/>
      </c>
      <c r="L23" s="215" t="str">
        <f t="shared" si="3"/>
        <v/>
      </c>
      <c r="M23" s="215" t="str">
        <f t="shared" si="3"/>
        <v/>
      </c>
      <c r="N23" s="215" t="str">
        <f t="shared" si="3"/>
        <v/>
      </c>
      <c r="O23" s="215" t="str">
        <f t="shared" si="3"/>
        <v/>
      </c>
      <c r="P23" s="215" t="str">
        <f t="shared" si="3"/>
        <v/>
      </c>
      <c r="Q23" s="215" t="str">
        <f t="shared" si="3"/>
        <v/>
      </c>
      <c r="R23" s="215" t="str">
        <f t="shared" si="3"/>
        <v/>
      </c>
      <c r="T23" s="416"/>
      <c r="U23" s="416"/>
    </row>
    <row r="24" spans="1:21" ht="22" customHeight="1">
      <c r="A24" s="288"/>
      <c r="B24" s="497" t="str">
        <f>IF('O2'!B16="","",'O2'!B16)</f>
        <v/>
      </c>
      <c r="C24" s="498"/>
      <c r="D24" s="400" t="str">
        <f>IF(B24="","",Lan!$F$57)</f>
        <v/>
      </c>
      <c r="E24" s="94"/>
      <c r="F24" s="94"/>
      <c r="G24" s="94"/>
      <c r="H24" s="94"/>
      <c r="I24" s="94"/>
      <c r="J24" s="94"/>
      <c r="K24" s="94"/>
      <c r="L24" s="94"/>
      <c r="M24" s="94"/>
      <c r="N24" s="94"/>
      <c r="O24" s="94"/>
      <c r="P24" s="94"/>
      <c r="Q24" s="402" t="str">
        <f t="array" ref="Q24">IF(B24="","",IFERROR(IF('O2'!$H$16=Data!$J$4,INDEX('KPI2'!E24:P24,COUNT(E24:P24)),IF('O2'!$H$16=Data!$J$2,SUM('KPI2'!E24:P24),IF('O2'!$H$16=Data!$J$3,AVERAGEIF(E24:P24,"&lt;&gt;",E24:P24)))),0))</f>
        <v/>
      </c>
      <c r="R24" s="402" t="str">
        <f t="array" ref="R24">IF(B24="","",IFERROR(IF('O2'!$H$16=Data!$J$4,INDEX('KPI2'!E24:P24,COUNT(E24:P24)),IF('O2'!$H$16=Data!$J$2,SUM('KPI2'!E24:P24),IF('O2'!$H$16=Data!$J$3,AVERAGEIF(E24:P24,"&lt;&gt;",E24:P24)))),0))</f>
        <v/>
      </c>
      <c r="T24" s="93">
        <f>'O2'!G16</f>
        <v>0</v>
      </c>
      <c r="U24" s="93"/>
    </row>
    <row r="25" spans="1:21" ht="22" customHeight="1">
      <c r="A25" s="288"/>
      <c r="B25" s="499"/>
      <c r="C25" s="500"/>
      <c r="D25" s="401" t="str">
        <f>IF(B24="","",Lan!$F$58)</f>
        <v/>
      </c>
      <c r="E25" s="95"/>
      <c r="F25" s="95"/>
      <c r="G25" s="95"/>
      <c r="H25" s="95"/>
      <c r="I25" s="95"/>
      <c r="J25" s="95"/>
      <c r="K25" s="95"/>
      <c r="L25" s="95"/>
      <c r="M25" s="95"/>
      <c r="N25" s="95"/>
      <c r="O25" s="95"/>
      <c r="P25" s="95"/>
      <c r="Q25" s="401" t="str">
        <f>IF(B24="","",IFERROR(IF('O2'!$H$16=Data!$J$4,T25,IF('O2'!$H$16=Data!$J$2,SUMIF('KPI2'!E24:P24,"&lt;&gt;",E25:P25),IF('O2'!$H$16=Data!$J$3,AVERAGEIF(E25:P25,"&lt;&gt;",E25:P25)))),0))</f>
        <v/>
      </c>
      <c r="R25" s="403" t="str">
        <f t="array" ref="R25">IF(B24="","",IFERROR(IF('O2'!$H$16=Data!$J$4,INDEX('KPI2'!E25:P25,COUNT(E25:P25)),IF('O2'!$H$16=Data!$J$2,SUM('KPI2'!E25:P25),IF('O2'!$H$16=Data!$J$3,AVERAGE(E25:P25)))),0))</f>
        <v/>
      </c>
      <c r="T25" s="93">
        <f>IF(P24&lt;&gt;"",P25,IF(O24&lt;&gt;"",O25,IF(N24&lt;&gt;"",N25,IF(M24&lt;&gt;"",M25,IF(L24&lt;&gt;"",L25,IF(K24&lt;&gt;"",K25,IF(J24&lt;&gt;"",J25,IF(I24&lt;&gt;"",I25,IF(H24&lt;&gt;"",H25,IF(G24&lt;&gt;"",G25,IF(F24&lt;&gt;"",F25,IF(E24&lt;&gt;"",E25,0))))))))))))</f>
        <v>0</v>
      </c>
      <c r="U25" s="93"/>
    </row>
    <row r="26" spans="1:21" s="309" customFormat="1" ht="22" customHeight="1" thickBot="1">
      <c r="B26" s="501"/>
      <c r="C26" s="502"/>
      <c r="D26" s="216" t="str">
        <f>IF(B24="","","%")</f>
        <v/>
      </c>
      <c r="E26" s="215" t="str">
        <f t="shared" ref="E26:R26" si="4">IFERROR(IF($B24="","",E24/E25),"")</f>
        <v/>
      </c>
      <c r="F26" s="215" t="str">
        <f t="shared" si="4"/>
        <v/>
      </c>
      <c r="G26" s="215" t="str">
        <f t="shared" si="4"/>
        <v/>
      </c>
      <c r="H26" s="215" t="str">
        <f t="shared" si="4"/>
        <v/>
      </c>
      <c r="I26" s="215" t="str">
        <f t="shared" si="4"/>
        <v/>
      </c>
      <c r="J26" s="215" t="str">
        <f t="shared" si="4"/>
        <v/>
      </c>
      <c r="K26" s="215" t="str">
        <f t="shared" si="4"/>
        <v/>
      </c>
      <c r="L26" s="215" t="str">
        <f t="shared" si="4"/>
        <v/>
      </c>
      <c r="M26" s="215" t="str">
        <f t="shared" si="4"/>
        <v/>
      </c>
      <c r="N26" s="215" t="str">
        <f t="shared" si="4"/>
        <v/>
      </c>
      <c r="O26" s="215" t="str">
        <f t="shared" si="4"/>
        <v/>
      </c>
      <c r="P26" s="215" t="str">
        <f t="shared" si="4"/>
        <v/>
      </c>
      <c r="Q26" s="215" t="str">
        <f t="shared" si="4"/>
        <v/>
      </c>
      <c r="R26" s="215" t="str">
        <f t="shared" si="4"/>
        <v/>
      </c>
      <c r="T26" s="416"/>
      <c r="U26" s="416"/>
    </row>
    <row r="27" spans="1:21" ht="22" customHeight="1">
      <c r="A27" s="288"/>
      <c r="B27" s="497" t="str">
        <f>IF('O2'!B17="","",'O2'!B17)</f>
        <v/>
      </c>
      <c r="C27" s="498"/>
      <c r="D27" s="400" t="str">
        <f>IF(B27="","",Lan!$F$57)</f>
        <v/>
      </c>
      <c r="E27" s="94"/>
      <c r="F27" s="94"/>
      <c r="G27" s="94"/>
      <c r="H27" s="94"/>
      <c r="I27" s="94"/>
      <c r="J27" s="94"/>
      <c r="K27" s="94"/>
      <c r="L27" s="94"/>
      <c r="M27" s="94"/>
      <c r="N27" s="94"/>
      <c r="O27" s="94"/>
      <c r="P27" s="94"/>
      <c r="Q27" s="402" t="str">
        <f t="array" ref="Q27">IF(B27="","",IFERROR(IF('O2'!$H$17=Data!$J$4,INDEX('KPI2'!E27:P27,COUNT(E27:P27)),IF('O2'!$H$17=Data!$J$2,SUM('KPI2'!E27:P27),IF('O2'!$H$17=Data!$J$3,AVERAGEIF(E27:P27,"&lt;&gt;",E27:P27)))),0))</f>
        <v/>
      </c>
      <c r="R27" s="402" t="str">
        <f t="array" ref="R27">IF(B27="","",IFERROR(IF('O2'!$H$17=Data!$J$4,INDEX('KPI2'!E27:P27,COUNT(E27:P27)),IF('O2'!$H$17=Data!$J$2,SUM('KPI2'!E27:P27),IF('O2'!$H$17=Data!$J$3,AVERAGEIF(E27:P27,"&lt;&gt;",E27:P27)))),0))</f>
        <v/>
      </c>
      <c r="T27" s="93">
        <f>'O2'!G17</f>
        <v>0</v>
      </c>
      <c r="U27" s="93"/>
    </row>
    <row r="28" spans="1:21" ht="22" customHeight="1">
      <c r="A28" s="288"/>
      <c r="B28" s="499"/>
      <c r="C28" s="500"/>
      <c r="D28" s="401" t="str">
        <f>IF(B27="","",Lan!$F$58)</f>
        <v/>
      </c>
      <c r="E28" s="95"/>
      <c r="F28" s="95"/>
      <c r="G28" s="95"/>
      <c r="H28" s="95"/>
      <c r="I28" s="95"/>
      <c r="J28" s="95"/>
      <c r="K28" s="95"/>
      <c r="L28" s="95"/>
      <c r="M28" s="95"/>
      <c r="N28" s="95"/>
      <c r="O28" s="95"/>
      <c r="P28" s="95"/>
      <c r="Q28" s="401" t="str">
        <f>IF(B27="","",IFERROR(IF('O2'!$H$17=Data!$J$4,T28,IF('O2'!$H$17=Data!$J$2,SUMIF('KPI2'!E27:P27,"&lt;&gt;",E28:P28),IF('O2'!$H$17=Data!$J$3,AVERAGEIF(E28:P28,"&lt;&gt;",E28:P28)))),0))</f>
        <v/>
      </c>
      <c r="R28" s="403" t="str">
        <f t="array" ref="R28">IF(B27="","",IFERROR(IF('O2'!$H$17=Data!$J$4,INDEX('KPI2'!E28:P28,COUNT(E28:P28)),IF('O2'!$H$17=Data!$J$2,SUM('KPI2'!E28:P28),IF('O2'!$H$17=Data!$J$3,AVERAGE(E28:P28)))),0))</f>
        <v/>
      </c>
      <c r="T28" s="93">
        <f>IF(P27&lt;&gt;"",P28,IF(O27&lt;&gt;"",O28,IF(N27&lt;&gt;"",N28,IF(M27&lt;&gt;"",M28,IF(L27&lt;&gt;"",L28,IF(K27&lt;&gt;"",K28,IF(J27&lt;&gt;"",J28,IF(I27&lt;&gt;"",I28,IF(H27&lt;&gt;"",H28,IF(G27&lt;&gt;"",G28,IF(F27&lt;&gt;"",F28,IF(E27&lt;&gt;"",E28,0))))))))))))</f>
        <v>0</v>
      </c>
      <c r="U28" s="93"/>
    </row>
    <row r="29" spans="1:21" s="309" customFormat="1" ht="22" customHeight="1" thickBot="1">
      <c r="B29" s="501"/>
      <c r="C29" s="502"/>
      <c r="D29" s="216" t="str">
        <f>IF(B27="","","%")</f>
        <v/>
      </c>
      <c r="E29" s="215" t="str">
        <f t="shared" ref="E29:R29" si="5">IFERROR(IF($B27="","",E27/E28),"")</f>
        <v/>
      </c>
      <c r="F29" s="215" t="str">
        <f t="shared" si="5"/>
        <v/>
      </c>
      <c r="G29" s="215" t="str">
        <f t="shared" si="5"/>
        <v/>
      </c>
      <c r="H29" s="215" t="str">
        <f t="shared" si="5"/>
        <v/>
      </c>
      <c r="I29" s="215" t="str">
        <f t="shared" si="5"/>
        <v/>
      </c>
      <c r="J29" s="215" t="str">
        <f t="shared" si="5"/>
        <v/>
      </c>
      <c r="K29" s="215" t="str">
        <f t="shared" si="5"/>
        <v/>
      </c>
      <c r="L29" s="215" t="str">
        <f t="shared" si="5"/>
        <v/>
      </c>
      <c r="M29" s="215" t="str">
        <f t="shared" si="5"/>
        <v/>
      </c>
      <c r="N29" s="215" t="str">
        <f t="shared" si="5"/>
        <v/>
      </c>
      <c r="O29" s="215" t="str">
        <f t="shared" si="5"/>
        <v/>
      </c>
      <c r="P29" s="215" t="str">
        <f t="shared" si="5"/>
        <v/>
      </c>
      <c r="Q29" s="215" t="str">
        <f t="shared" si="5"/>
        <v/>
      </c>
      <c r="R29" s="215" t="str">
        <f t="shared" si="5"/>
        <v/>
      </c>
      <c r="T29" s="416"/>
      <c r="U29" s="416"/>
    </row>
    <row r="30" spans="1:21" ht="22" customHeight="1">
      <c r="A30" s="288"/>
      <c r="B30" s="497" t="str">
        <f>IF('O2'!B18="","",'O2'!B18)</f>
        <v/>
      </c>
      <c r="C30" s="498"/>
      <c r="D30" s="400" t="str">
        <f>IF(B30="","",Lan!$F$57)</f>
        <v/>
      </c>
      <c r="E30" s="94"/>
      <c r="F30" s="94"/>
      <c r="G30" s="94"/>
      <c r="H30" s="94"/>
      <c r="I30" s="94"/>
      <c r="J30" s="94"/>
      <c r="K30" s="94"/>
      <c r="L30" s="94"/>
      <c r="M30" s="94"/>
      <c r="N30" s="94"/>
      <c r="O30" s="94"/>
      <c r="P30" s="94"/>
      <c r="Q30" s="402" t="str">
        <f t="array" ref="Q30">IF(B30="","",IFERROR(IF('O2'!$H$18=Data!$J$4,INDEX('KPI2'!E30:P30,COUNT(E30:P30)),IF('O2'!$H$18=Data!$J$2,SUM('KPI2'!E30:P30),IF('O2'!$H$18=Data!$J$3,AVERAGEIF(E30:P30,"&lt;&gt;",E30:P30)))),0))</f>
        <v/>
      </c>
      <c r="R30" s="402" t="str">
        <f t="array" ref="R30">IF(B30="","",IFERROR(IF('O2'!$H$18=Data!$J$4,INDEX('KPI2'!E30:P30,COUNT(E30:P30)),IF('O2'!$H$18=Data!$J$2,SUM('KPI2'!E30:P30),IF('O2'!$H$18=Data!$J$3,AVERAGEIF(E30:P30,"&lt;&gt;",E30:P30)))),0))</f>
        <v/>
      </c>
      <c r="T30" s="93">
        <f>'O2'!G18</f>
        <v>0</v>
      </c>
      <c r="U30" s="93"/>
    </row>
    <row r="31" spans="1:21" ht="22" customHeight="1">
      <c r="A31" s="288"/>
      <c r="B31" s="499"/>
      <c r="C31" s="500"/>
      <c r="D31" s="401" t="str">
        <f>IF(B30="","",Lan!$F$58)</f>
        <v/>
      </c>
      <c r="E31" s="95"/>
      <c r="F31" s="95"/>
      <c r="G31" s="95"/>
      <c r="H31" s="95"/>
      <c r="I31" s="95"/>
      <c r="J31" s="95"/>
      <c r="K31" s="95"/>
      <c r="L31" s="95"/>
      <c r="M31" s="95"/>
      <c r="N31" s="95"/>
      <c r="O31" s="95"/>
      <c r="P31" s="95"/>
      <c r="Q31" s="401" t="str">
        <f>IF(B30="","",IFERROR(IF('O2'!$H$18=Data!$J$4,T31,IF('O2'!$H$18=Data!$J$2,SUMIF('KPI2'!E30:P30,"&lt;&gt;",E31:P31),IF('O2'!$H$18=Data!$J$3,AVERAGEIF(E31:P31,"&lt;&gt;",E31:P31)))),0))</f>
        <v/>
      </c>
      <c r="R31" s="403" t="str">
        <f t="array" ref="R31">IF(B30="","",IFERROR(IF('O2'!$H$18=Data!$J$4,INDEX('KPI2'!E31:P31,COUNT(E31:P31)),IF('O2'!$H$18=Data!$J$2,SUM('KPI2'!E31:P31),IF('O2'!$H$18=Data!$J$3,AVERAGE(E31:P31)))),0))</f>
        <v/>
      </c>
      <c r="T31" s="93">
        <f>IF(P30&lt;&gt;"",P31,IF(O30&lt;&gt;"",O31,IF(N30&lt;&gt;"",N31,IF(M30&lt;&gt;"",M31,IF(L30&lt;&gt;"",L31,IF(K30&lt;&gt;"",K31,IF(J30&lt;&gt;"",J31,IF(I30&lt;&gt;"",I31,IF(H30&lt;&gt;"",H31,IF(G30&lt;&gt;"",G31,IF(F30&lt;&gt;"",F31,IF(E30&lt;&gt;"",E31,0))))))))))))</f>
        <v>0</v>
      </c>
      <c r="U31" s="93"/>
    </row>
    <row r="32" spans="1:21" s="309" customFormat="1" ht="22" customHeight="1" thickBot="1">
      <c r="B32" s="501"/>
      <c r="C32" s="502"/>
      <c r="D32" s="216" t="str">
        <f>IF(B30="","","%")</f>
        <v/>
      </c>
      <c r="E32" s="215" t="str">
        <f t="shared" ref="E32:R32" si="6">IFERROR(IF($B30="","",E30/E31),"")</f>
        <v/>
      </c>
      <c r="F32" s="215" t="str">
        <f t="shared" si="6"/>
        <v/>
      </c>
      <c r="G32" s="215" t="str">
        <f t="shared" si="6"/>
        <v/>
      </c>
      <c r="H32" s="215" t="str">
        <f t="shared" si="6"/>
        <v/>
      </c>
      <c r="I32" s="215" t="str">
        <f t="shared" si="6"/>
        <v/>
      </c>
      <c r="J32" s="215" t="str">
        <f t="shared" si="6"/>
        <v/>
      </c>
      <c r="K32" s="215" t="str">
        <f t="shared" si="6"/>
        <v/>
      </c>
      <c r="L32" s="215" t="str">
        <f t="shared" si="6"/>
        <v/>
      </c>
      <c r="M32" s="215" t="str">
        <f t="shared" si="6"/>
        <v/>
      </c>
      <c r="N32" s="215" t="str">
        <f t="shared" si="6"/>
        <v/>
      </c>
      <c r="O32" s="215" t="str">
        <f t="shared" si="6"/>
        <v/>
      </c>
      <c r="P32" s="215" t="str">
        <f t="shared" si="6"/>
        <v/>
      </c>
      <c r="Q32" s="215" t="str">
        <f t="shared" si="6"/>
        <v/>
      </c>
      <c r="R32" s="215" t="str">
        <f t="shared" si="6"/>
        <v/>
      </c>
      <c r="T32" s="416"/>
      <c r="U32" s="416"/>
    </row>
    <row r="33" spans="1:21" ht="22" customHeight="1">
      <c r="A33" s="288"/>
      <c r="B33" s="497" t="str">
        <f>IF('O2'!B19="","",'O2'!B19)</f>
        <v/>
      </c>
      <c r="C33" s="498"/>
      <c r="D33" s="400" t="str">
        <f>IF(B33="","",Lan!$F$57)</f>
        <v/>
      </c>
      <c r="E33" s="94"/>
      <c r="F33" s="94"/>
      <c r="G33" s="94"/>
      <c r="H33" s="94"/>
      <c r="I33" s="94"/>
      <c r="J33" s="94"/>
      <c r="K33" s="94"/>
      <c r="L33" s="94"/>
      <c r="M33" s="94"/>
      <c r="N33" s="94"/>
      <c r="O33" s="94"/>
      <c r="P33" s="94"/>
      <c r="Q33" s="402" t="str">
        <f t="array" ref="Q33">IF(B33="","",IFERROR(IF('O2'!$H$19=Data!$J$4,INDEX('KPI2'!E33:P33,COUNT(E33:P33)),IF('O2'!$H$19=Data!$J$2,SUM('KPI2'!E33:P33),IF('O2'!$H$19=Data!$J$3,AVERAGEIF(E33:P33,"&lt;&gt;",E33:P33)))),0))</f>
        <v/>
      </c>
      <c r="R33" s="402" t="str">
        <f t="array" ref="R33">IF(B33="","",IFERROR(IF('O2'!$H$19=Data!$J$4,INDEX('KPI2'!E33:P33,COUNT(E33:P33)),IF('O2'!$H$19=Data!$J$2,SUM('KPI2'!E33:P33),IF('O2'!$H$19=Data!$J$3,AVERAGEIF(E33:P33,"&lt;&gt;",E33:P33)))),0))</f>
        <v/>
      </c>
      <c r="T33" s="93">
        <f>'O2'!G19</f>
        <v>0</v>
      </c>
      <c r="U33" s="93"/>
    </row>
    <row r="34" spans="1:21" ht="22" customHeight="1">
      <c r="A34" s="288"/>
      <c r="B34" s="499"/>
      <c r="C34" s="500"/>
      <c r="D34" s="401" t="str">
        <f>IF(B33="","",Lan!$F$58)</f>
        <v/>
      </c>
      <c r="E34" s="95"/>
      <c r="F34" s="95"/>
      <c r="G34" s="95"/>
      <c r="H34" s="95"/>
      <c r="I34" s="95"/>
      <c r="J34" s="95"/>
      <c r="K34" s="95"/>
      <c r="L34" s="95"/>
      <c r="M34" s="95"/>
      <c r="N34" s="95"/>
      <c r="O34" s="95"/>
      <c r="P34" s="95"/>
      <c r="Q34" s="401" t="str">
        <f>IF(B33="","",IFERROR(IF('O2'!$H$19=Data!$J$4,T34,IF('O2'!$H$19=Data!$J$2,SUMIF('KPI2'!E33:P33,"&lt;&gt;",E34:P34),IF('O2'!$H$19=Data!$J$3,AVERAGEIF(E34:P34,"&lt;&gt;",E34:P34)))),0))</f>
        <v/>
      </c>
      <c r="R34" s="403" t="str">
        <f t="array" ref="R34">IF(B33="","",IFERROR(IF('O2'!$H$19=Data!$J$4,INDEX('KPI2'!E34:P34,COUNT(E34:P34)),IF('O2'!$H$19=Data!$J$2,SUM('KPI2'!E34:P34),IF('O2'!$H$19=Data!$J$3,AVERAGE(E34:P34)))),0))</f>
        <v/>
      </c>
      <c r="T34" s="93">
        <f>IF(P33&lt;&gt;"",P34,IF(O33&lt;&gt;"",O34,IF(N33&lt;&gt;"",N34,IF(M33&lt;&gt;"",M34,IF(L33&lt;&gt;"",L34,IF(K33&lt;&gt;"",K34,IF(J33&lt;&gt;"",J34,IF(I33&lt;&gt;"",I34,IF(H33&lt;&gt;"",H34,IF(G33&lt;&gt;"",G34,IF(F33&lt;&gt;"",F34,IF(E33&lt;&gt;"",E34,0))))))))))))</f>
        <v>0</v>
      </c>
      <c r="U34" s="93"/>
    </row>
    <row r="35" spans="1:21" s="309" customFormat="1" ht="22" customHeight="1" thickBot="1">
      <c r="B35" s="501"/>
      <c r="C35" s="502"/>
      <c r="D35" s="216" t="str">
        <f>IF(B33="","","%")</f>
        <v/>
      </c>
      <c r="E35" s="215" t="str">
        <f t="shared" ref="E35:R35" si="7">IFERROR(IF($B33="","",E33/E34),"")</f>
        <v/>
      </c>
      <c r="F35" s="215" t="str">
        <f t="shared" si="7"/>
        <v/>
      </c>
      <c r="G35" s="215" t="str">
        <f t="shared" si="7"/>
        <v/>
      </c>
      <c r="H35" s="215" t="str">
        <f t="shared" si="7"/>
        <v/>
      </c>
      <c r="I35" s="215" t="str">
        <f t="shared" si="7"/>
        <v/>
      </c>
      <c r="J35" s="215" t="str">
        <f t="shared" si="7"/>
        <v/>
      </c>
      <c r="K35" s="215" t="str">
        <f t="shared" si="7"/>
        <v/>
      </c>
      <c r="L35" s="215" t="str">
        <f t="shared" si="7"/>
        <v/>
      </c>
      <c r="M35" s="215" t="str">
        <f t="shared" si="7"/>
        <v/>
      </c>
      <c r="N35" s="215" t="str">
        <f t="shared" si="7"/>
        <v/>
      </c>
      <c r="O35" s="215" t="str">
        <f t="shared" si="7"/>
        <v/>
      </c>
      <c r="P35" s="215" t="str">
        <f t="shared" si="7"/>
        <v/>
      </c>
      <c r="Q35" s="215" t="str">
        <f t="shared" si="7"/>
        <v/>
      </c>
      <c r="R35" s="215" t="str">
        <f t="shared" si="7"/>
        <v/>
      </c>
      <c r="T35" s="416"/>
      <c r="U35" s="416"/>
    </row>
    <row r="36" spans="1:21" ht="22" customHeight="1">
      <c r="A36" s="288"/>
      <c r="B36" s="497" t="str">
        <f>IF('O2'!B20="","",'O2'!B20)</f>
        <v/>
      </c>
      <c r="C36" s="498"/>
      <c r="D36" s="400" t="str">
        <f>IF(B36="","",Lan!$F$57)</f>
        <v/>
      </c>
      <c r="E36" s="94"/>
      <c r="F36" s="94"/>
      <c r="G36" s="94"/>
      <c r="H36" s="94"/>
      <c r="I36" s="94"/>
      <c r="J36" s="94"/>
      <c r="K36" s="94"/>
      <c r="L36" s="94"/>
      <c r="M36" s="94"/>
      <c r="N36" s="94"/>
      <c r="O36" s="94"/>
      <c r="P36" s="94"/>
      <c r="Q36" s="402" t="str">
        <f t="array" ref="Q36">IF(B36="","",IFERROR(IF('O2'!$H$20=Data!$J$4,INDEX('KPI2'!E36:P36,COUNT(E36:P36)),IF('O2'!$H$20=Data!$J$2,SUM('KPI2'!E36:P36),IF('O2'!$H$20=Data!$J$3,AVERAGEIF(E36:P36,"&lt;&gt;",E36:P36)))),0))</f>
        <v/>
      </c>
      <c r="R36" s="402" t="str">
        <f t="array" ref="R36">IF(B36="","",IFERROR(IF('O2'!$H$20=Data!$J$4,INDEX('KPI2'!E36:P36,COUNT(E36:P36)),IF('O2'!$H$20=Data!$J$2,SUM('KPI2'!E36:P36),IF('O2'!$H$20=Data!$J$3,AVERAGEIF(E36:P36,"&lt;&gt;",E36:P36)))),0))</f>
        <v/>
      </c>
      <c r="T36" s="93">
        <f>'O2'!G20</f>
        <v>0</v>
      </c>
      <c r="U36" s="93"/>
    </row>
    <row r="37" spans="1:21" ht="22" customHeight="1">
      <c r="A37" s="288"/>
      <c r="B37" s="499"/>
      <c r="C37" s="500"/>
      <c r="D37" s="401" t="str">
        <f>IF(B36="","",Lan!$F$58)</f>
        <v/>
      </c>
      <c r="E37" s="95"/>
      <c r="F37" s="95"/>
      <c r="G37" s="95"/>
      <c r="H37" s="95"/>
      <c r="I37" s="95"/>
      <c r="J37" s="95"/>
      <c r="K37" s="95"/>
      <c r="L37" s="95"/>
      <c r="M37" s="95"/>
      <c r="N37" s="95"/>
      <c r="O37" s="95"/>
      <c r="P37" s="95"/>
      <c r="Q37" s="401" t="str">
        <f>IF(B36="","",IFERROR(IF('O2'!$H$20=Data!$J$4,T37,IF('O2'!$H$20=Data!$J$2,SUMIF('KPI2'!E36:P36,"&lt;&gt;",E37:P37),IF('O2'!$H$20=Data!$J$3,AVERAGEIF(E37:P37,"&lt;&gt;",E37:P37)))),0))</f>
        <v/>
      </c>
      <c r="R37" s="403" t="str">
        <f t="array" ref="R37">IF(B36="","",IFERROR(IF('O2'!$H$20=Data!$J$4,INDEX('KPI2'!E37:P37,COUNT(E37:P37)),IF('O2'!$H$20=Data!$J$2,SUM('KPI2'!E37:P37),IF('O2'!$H$20=Data!$J$3,AVERAGE(E37:P37)))),0))</f>
        <v/>
      </c>
      <c r="T37" s="93">
        <f>IF(P36&lt;&gt;"",P37,IF(O36&lt;&gt;"",O37,IF(N36&lt;&gt;"",N37,IF(M36&lt;&gt;"",M37,IF(L36&lt;&gt;"",L37,IF(K36&lt;&gt;"",K37,IF(J36&lt;&gt;"",J37,IF(I36&lt;&gt;"",I37,IF(H36&lt;&gt;"",H37,IF(G36&lt;&gt;"",G37,IF(F36&lt;&gt;"",F37,IF(E36&lt;&gt;"",E37,0))))))))))))</f>
        <v>0</v>
      </c>
      <c r="U37" s="93"/>
    </row>
    <row r="38" spans="1:21" s="309" customFormat="1" ht="22" customHeight="1" thickBot="1">
      <c r="B38" s="501"/>
      <c r="C38" s="502"/>
      <c r="D38" s="216" t="str">
        <f>IF(B36="","","%")</f>
        <v/>
      </c>
      <c r="E38" s="215" t="str">
        <f t="shared" ref="E38:R38" si="8">IFERROR(IF($B36="","",E36/E37),"")</f>
        <v/>
      </c>
      <c r="F38" s="215" t="str">
        <f t="shared" si="8"/>
        <v/>
      </c>
      <c r="G38" s="215" t="str">
        <f t="shared" si="8"/>
        <v/>
      </c>
      <c r="H38" s="215" t="str">
        <f t="shared" si="8"/>
        <v/>
      </c>
      <c r="I38" s="215" t="str">
        <f t="shared" si="8"/>
        <v/>
      </c>
      <c r="J38" s="215" t="str">
        <f t="shared" si="8"/>
        <v/>
      </c>
      <c r="K38" s="215" t="str">
        <f t="shared" si="8"/>
        <v/>
      </c>
      <c r="L38" s="215" t="str">
        <f t="shared" si="8"/>
        <v/>
      </c>
      <c r="M38" s="215" t="str">
        <f t="shared" si="8"/>
        <v/>
      </c>
      <c r="N38" s="215" t="str">
        <f t="shared" si="8"/>
        <v/>
      </c>
      <c r="O38" s="215" t="str">
        <f t="shared" si="8"/>
        <v/>
      </c>
      <c r="P38" s="215" t="str">
        <f t="shared" si="8"/>
        <v/>
      </c>
      <c r="Q38" s="215" t="str">
        <f t="shared" si="8"/>
        <v/>
      </c>
      <c r="R38" s="215" t="str">
        <f t="shared" si="8"/>
        <v/>
      </c>
      <c r="T38" s="416"/>
      <c r="U38" s="416"/>
    </row>
    <row r="39" spans="1:21" ht="22" customHeight="1">
      <c r="A39" s="288"/>
      <c r="B39" s="497" t="str">
        <f>IF('O2'!B21="","",'O2'!B21)</f>
        <v/>
      </c>
      <c r="C39" s="498"/>
      <c r="D39" s="400" t="str">
        <f>IF(B39="","",Lan!$F$57)</f>
        <v/>
      </c>
      <c r="E39" s="94"/>
      <c r="F39" s="94"/>
      <c r="G39" s="94"/>
      <c r="H39" s="94"/>
      <c r="I39" s="94"/>
      <c r="J39" s="94"/>
      <c r="K39" s="94"/>
      <c r="L39" s="94"/>
      <c r="M39" s="94"/>
      <c r="N39" s="94"/>
      <c r="O39" s="94"/>
      <c r="P39" s="94"/>
      <c r="Q39" s="402" t="str">
        <f t="array" ref="Q39">IF(B39="","",IFERROR(IF('O2'!$H$21=Data!$J$4,INDEX('KPI2'!E39:P39,COUNT(E39:P39)),IF('O2'!$H$21=Data!$J$2,SUM('KPI2'!E39:P39),IF('O2'!$H$21=Data!$J$3,AVERAGEIF(E39:P39,"&lt;&gt;",E39:P39)))),0))</f>
        <v/>
      </c>
      <c r="R39" s="402" t="str">
        <f t="array" ref="R39">IF(B39="","",IFERROR(IF('O2'!$H$21=Data!$J$4,INDEX('KPI2'!E39:P39,COUNT(E39:P39)),IF('O2'!$H$21=Data!$J$2,SUM('KPI2'!E39:P39),IF('O2'!$H$21=Data!$J$3,AVERAGEIF(E39:P39,"&lt;&gt;",E39:P39)))),0))</f>
        <v/>
      </c>
      <c r="T39" s="93">
        <f>'O2'!G21</f>
        <v>0</v>
      </c>
      <c r="U39" s="93"/>
    </row>
    <row r="40" spans="1:21" ht="22" customHeight="1">
      <c r="A40" s="288"/>
      <c r="B40" s="499"/>
      <c r="C40" s="500"/>
      <c r="D40" s="401" t="str">
        <f>IF(B39="","",Lan!$F$58)</f>
        <v/>
      </c>
      <c r="E40" s="95"/>
      <c r="F40" s="95"/>
      <c r="G40" s="95"/>
      <c r="H40" s="95"/>
      <c r="I40" s="95"/>
      <c r="J40" s="95"/>
      <c r="K40" s="95"/>
      <c r="L40" s="95"/>
      <c r="M40" s="95"/>
      <c r="N40" s="95"/>
      <c r="O40" s="95"/>
      <c r="P40" s="95"/>
      <c r="Q40" s="401" t="str">
        <f>IF(B39="","",IFERROR(IF('O2'!$H$21=Data!$J$4,T40,IF('O2'!$H$21=Data!$J$2,SUMIF('KPI2'!E39:P39,"&lt;&gt;",E40:P40),IF('O2'!$H$21=Data!$J$3,AVERAGEIF(E40:P40,"&lt;&gt;",E40:P40)))),0))</f>
        <v/>
      </c>
      <c r="R40" s="403" t="str">
        <f t="array" ref="R40">IF(B39="","",IFERROR(IF('O2'!$H$21=Data!$J$4,INDEX('KPI2'!E40:P40,COUNT(E40:P40)),IF('O2'!$H$21=Data!$J$2,SUM('KPI2'!E40:P40),IF('O2'!$H$21=Data!$J$3,AVERAGE(E40:P40)))),0))</f>
        <v/>
      </c>
      <c r="T40" s="93">
        <f>IF(P39&lt;&gt;"",P40,IF(O39&lt;&gt;"",O40,IF(N39&lt;&gt;"",N40,IF(M39&lt;&gt;"",M40,IF(L39&lt;&gt;"",L40,IF(K39&lt;&gt;"",K40,IF(J39&lt;&gt;"",J40,IF(I39&lt;&gt;"",I40,IF(H39&lt;&gt;"",H40,IF(G39&lt;&gt;"",G40,IF(F39&lt;&gt;"",F40,IF(E39&lt;&gt;"",E40,0))))))))))))</f>
        <v>0</v>
      </c>
      <c r="U40" s="93"/>
    </row>
    <row r="41" spans="1:21" s="309" customFormat="1" ht="22" customHeight="1" thickBot="1">
      <c r="B41" s="501"/>
      <c r="C41" s="502"/>
      <c r="D41" s="216" t="str">
        <f>IF(B39="","","%")</f>
        <v/>
      </c>
      <c r="E41" s="217" t="str">
        <f t="shared" ref="E41:R41" si="9">IFERROR(IF($B39="","",E39/E40),"")</f>
        <v/>
      </c>
      <c r="F41" s="217" t="str">
        <f t="shared" si="9"/>
        <v/>
      </c>
      <c r="G41" s="217" t="str">
        <f t="shared" si="9"/>
        <v/>
      </c>
      <c r="H41" s="217" t="str">
        <f t="shared" si="9"/>
        <v/>
      </c>
      <c r="I41" s="217" t="str">
        <f t="shared" si="9"/>
        <v/>
      </c>
      <c r="J41" s="217" t="str">
        <f t="shared" si="9"/>
        <v/>
      </c>
      <c r="K41" s="217" t="str">
        <f t="shared" si="9"/>
        <v/>
      </c>
      <c r="L41" s="217" t="str">
        <f t="shared" si="9"/>
        <v/>
      </c>
      <c r="M41" s="217" t="str">
        <f t="shared" si="9"/>
        <v/>
      </c>
      <c r="N41" s="217" t="str">
        <f t="shared" si="9"/>
        <v/>
      </c>
      <c r="O41" s="217" t="str">
        <f t="shared" si="9"/>
        <v/>
      </c>
      <c r="P41" s="217" t="str">
        <f t="shared" si="9"/>
        <v/>
      </c>
      <c r="Q41" s="217" t="str">
        <f t="shared" si="9"/>
        <v/>
      </c>
      <c r="R41" s="217" t="str">
        <f t="shared" si="9"/>
        <v/>
      </c>
      <c r="T41" s="416"/>
      <c r="U41" s="416"/>
    </row>
    <row r="42" spans="1:21" ht="21" customHeight="1">
      <c r="A42" s="288"/>
      <c r="B42" s="299"/>
      <c r="C42" s="288"/>
      <c r="D42" s="288"/>
      <c r="E42" s="288"/>
      <c r="F42" s="288"/>
      <c r="G42" s="288"/>
      <c r="H42" s="288"/>
    </row>
    <row r="43" spans="1:21" ht="21" customHeight="1">
      <c r="A43" s="288"/>
      <c r="B43" s="299"/>
      <c r="C43" s="288"/>
      <c r="D43" s="288"/>
      <c r="E43" s="288"/>
      <c r="F43" s="288"/>
      <c r="G43" s="288"/>
      <c r="H43" s="288"/>
    </row>
    <row r="44" spans="1:21" ht="21" customHeight="1">
      <c r="A44" s="288"/>
      <c r="B44" s="299"/>
      <c r="C44" s="288"/>
      <c r="D44" s="288"/>
      <c r="E44" s="288"/>
      <c r="F44" s="288"/>
      <c r="G44" s="288"/>
      <c r="H44" s="288"/>
    </row>
    <row r="45" spans="1:21" ht="21" customHeight="1">
      <c r="A45" s="288"/>
      <c r="B45" s="299"/>
      <c r="C45" s="288"/>
      <c r="D45" s="288"/>
      <c r="E45" s="404"/>
      <c r="F45" s="288"/>
      <c r="G45" s="288"/>
      <c r="H45" s="288"/>
    </row>
    <row r="46" spans="1:21" ht="21" customHeight="1">
      <c r="A46" s="288"/>
      <c r="B46" s="299"/>
      <c r="C46" s="288"/>
      <c r="D46" s="288"/>
      <c r="E46" s="288"/>
      <c r="F46" s="288"/>
      <c r="G46" s="288"/>
      <c r="H46" s="288"/>
    </row>
    <row r="47" spans="1:21" ht="20" customHeight="1">
      <c r="A47" s="288"/>
      <c r="B47" s="299"/>
      <c r="C47" s="288"/>
      <c r="D47" s="288"/>
      <c r="E47" s="288"/>
      <c r="F47" s="288"/>
      <c r="G47" s="288"/>
      <c r="H47" s="288"/>
    </row>
    <row r="48" spans="1:21" ht="20" customHeight="1">
      <c r="A48" s="288"/>
      <c r="B48" s="299"/>
      <c r="C48" s="288"/>
      <c r="D48" s="288"/>
      <c r="E48" s="288"/>
      <c r="F48" s="288"/>
      <c r="G48" s="288"/>
      <c r="H48" s="288"/>
    </row>
    <row r="49" spans="1:8" ht="20" customHeight="1">
      <c r="A49" s="288"/>
      <c r="B49" s="299"/>
      <c r="C49" s="288"/>
      <c r="D49" s="288"/>
      <c r="E49" s="288"/>
      <c r="F49" s="288"/>
      <c r="G49" s="288"/>
      <c r="H49" s="288"/>
    </row>
    <row r="50" spans="1:8" ht="20" customHeight="1">
      <c r="A50" s="288"/>
      <c r="B50" s="299"/>
      <c r="C50" s="288"/>
      <c r="D50" s="288"/>
      <c r="E50" s="288"/>
      <c r="F50" s="288"/>
      <c r="G50" s="288"/>
      <c r="H50" s="288"/>
    </row>
    <row r="51" spans="1:8" ht="20" customHeight="1">
      <c r="A51" s="288"/>
      <c r="B51" s="299"/>
      <c r="C51" s="288"/>
      <c r="D51" s="288"/>
      <c r="E51" s="288"/>
      <c r="F51" s="288"/>
      <c r="G51" s="288"/>
      <c r="H51" s="288"/>
    </row>
    <row r="52" spans="1:8" ht="20" customHeight="1">
      <c r="A52" s="288"/>
      <c r="B52" s="299"/>
      <c r="C52" s="288"/>
      <c r="D52" s="288"/>
      <c r="E52" s="288"/>
      <c r="F52" s="288"/>
      <c r="G52" s="288"/>
      <c r="H52" s="288"/>
    </row>
    <row r="53" spans="1:8" ht="20" customHeight="1">
      <c r="A53" s="288"/>
      <c r="B53" s="299"/>
      <c r="C53" s="288"/>
      <c r="D53" s="288"/>
      <c r="E53" s="288"/>
      <c r="F53" s="288"/>
      <c r="G53" s="288"/>
      <c r="H53" s="288"/>
    </row>
    <row r="54" spans="1:8" ht="20" customHeight="1">
      <c r="A54" s="288"/>
      <c r="B54" s="300"/>
      <c r="C54" s="288"/>
      <c r="D54" s="288"/>
      <c r="E54" s="288"/>
      <c r="F54" s="288"/>
      <c r="G54" s="288"/>
      <c r="H54" s="288"/>
    </row>
    <row r="55" spans="1:8" ht="20" customHeight="1"/>
    <row r="56" spans="1:8" ht="20" customHeight="1"/>
    <row r="57" spans="1:8" ht="20" customHeight="1"/>
    <row r="58" spans="1:8" ht="20" customHeight="1"/>
    <row r="59" spans="1:8" ht="20" customHeight="1"/>
    <row r="60" spans="1:8" ht="20" customHeight="1"/>
    <row r="61" spans="1:8" ht="20" customHeight="1"/>
    <row r="62" spans="1:8" ht="20" customHeight="1"/>
    <row r="63" spans="1:8" ht="20" customHeight="1"/>
    <row r="64" spans="1:8"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sheetData>
  <sheetProtection formatCells="0" formatColumns="0" formatRows="0" selectLockedCells="1" sort="0" autoFilter="0" pivotTables="0"/>
  <mergeCells count="11">
    <mergeCell ref="B18:C20"/>
    <mergeCell ref="B11:C11"/>
    <mergeCell ref="B12:C14"/>
    <mergeCell ref="B15:C17"/>
    <mergeCell ref="B39:C41"/>
    <mergeCell ref="B21:C23"/>
    <mergeCell ref="B24:C26"/>
    <mergeCell ref="B27:C29"/>
    <mergeCell ref="B30:C32"/>
    <mergeCell ref="B33:C35"/>
    <mergeCell ref="B36:C38"/>
  </mergeCells>
  <conditionalFormatting sqref="B10:G10">
    <cfRule type="expression" dxfId="967" priority="1">
      <formula>B$10=""</formula>
    </cfRule>
  </conditionalFormatting>
  <conditionalFormatting sqref="B12:R14">
    <cfRule type="expression" dxfId="966" priority="4">
      <formula>$B$12=""</formula>
    </cfRule>
  </conditionalFormatting>
  <conditionalFormatting sqref="B15:R17">
    <cfRule type="expression" dxfId="965" priority="5">
      <formula>$B$15=""</formula>
    </cfRule>
  </conditionalFormatting>
  <conditionalFormatting sqref="B18:R20">
    <cfRule type="expression" dxfId="964" priority="6">
      <formula>$B$18=""</formula>
    </cfRule>
  </conditionalFormatting>
  <conditionalFormatting sqref="B21:R23">
    <cfRule type="expression" dxfId="963" priority="7">
      <formula>$B$21=""</formula>
    </cfRule>
  </conditionalFormatting>
  <conditionalFormatting sqref="B24:R26">
    <cfRule type="expression" dxfId="962" priority="8">
      <formula>$B$24=""</formula>
    </cfRule>
  </conditionalFormatting>
  <conditionalFormatting sqref="B27:R29">
    <cfRule type="expression" dxfId="961" priority="9">
      <formula>$B$27=""</formula>
    </cfRule>
  </conditionalFormatting>
  <conditionalFormatting sqref="B30:R32">
    <cfRule type="expression" dxfId="960" priority="10">
      <formula>$B$30=""</formula>
    </cfRule>
  </conditionalFormatting>
  <conditionalFormatting sqref="B33:R35">
    <cfRule type="expression" dxfId="959" priority="11">
      <formula>$B$33=""</formula>
    </cfRule>
  </conditionalFormatting>
  <conditionalFormatting sqref="B36:R38">
    <cfRule type="expression" dxfId="958" priority="12">
      <formula>$B$36=""</formula>
    </cfRule>
  </conditionalFormatting>
  <conditionalFormatting sqref="B39:R41">
    <cfRule type="expression" dxfId="957" priority="13">
      <formula>$B$39=""</formula>
    </cfRule>
  </conditionalFormatting>
  <conditionalFormatting sqref="E14:R14">
    <cfRule type="expression" dxfId="946" priority="153">
      <formula>AND(E14&lt;$T$8,$T12="↑")</formula>
    </cfRule>
    <cfRule type="expression" dxfId="945" priority="150">
      <formula>AND(E14&lt;=$T$8,$T12="↓")</formula>
    </cfRule>
    <cfRule type="expression" dxfId="944" priority="152">
      <formula>AND(E14&gt;=$T$8,$T12="↑")</formula>
    </cfRule>
    <cfRule type="expression" dxfId="943" priority="151">
      <formula>AND(E14&gt;$T$8,$T12="↓")</formula>
    </cfRule>
  </conditionalFormatting>
  <conditionalFormatting sqref="E17:R17">
    <cfRule type="expression" dxfId="932" priority="149">
      <formula>AND(E17&lt;$T$8,$T15="↑")</formula>
    </cfRule>
    <cfRule type="expression" dxfId="931" priority="148">
      <formula>AND(E17&gt;=$T$8,$T15="↑")</formula>
    </cfRule>
    <cfRule type="expression" dxfId="930" priority="147">
      <formula>AND(E17&gt;$T$8,$T15="↓")</formula>
    </cfRule>
    <cfRule type="expression" dxfId="929" priority="146">
      <formula>AND(E17&lt;=$T$8,$T15="↓")</formula>
    </cfRule>
  </conditionalFormatting>
  <conditionalFormatting sqref="E20:R20">
    <cfRule type="expression" dxfId="918" priority="143">
      <formula>AND(E20&gt;$T$8,$T18="↓")</formula>
    </cfRule>
    <cfRule type="expression" dxfId="917" priority="142">
      <formula>AND(E20&lt;=$T$8,$T18="↓")</formula>
    </cfRule>
    <cfRule type="expression" dxfId="916" priority="145">
      <formula>AND(E20&lt;$T$8,$T18="↑")</formula>
    </cfRule>
    <cfRule type="expression" dxfId="915" priority="144">
      <formula>AND(E20&gt;=$T$8,$T18="↑")</formula>
    </cfRule>
  </conditionalFormatting>
  <conditionalFormatting sqref="E23:R23">
    <cfRule type="expression" dxfId="904" priority="140">
      <formula>AND(E23&gt;=$T$8,$T21="↑")</formula>
    </cfRule>
    <cfRule type="expression" dxfId="903" priority="141">
      <formula>AND(E23&lt;$T$8,$T21="↑")</formula>
    </cfRule>
    <cfRule type="expression" dxfId="902" priority="139">
      <formula>AND(E23&gt;$T$8,$T21="↓")</formula>
    </cfRule>
    <cfRule type="expression" dxfId="901" priority="138">
      <formula>AND(E23&lt;=$T$8,$T21="↓")</formula>
    </cfRule>
  </conditionalFormatting>
  <conditionalFormatting sqref="E26:R26">
    <cfRule type="expression" dxfId="890" priority="135">
      <formula>AND(E26&gt;$T$8,$T24="↓")</formula>
    </cfRule>
    <cfRule type="expression" dxfId="889" priority="134">
      <formula>AND(E26&lt;=$T$8,$T24="↓")</formula>
    </cfRule>
    <cfRule type="expression" dxfId="888" priority="137">
      <formula>AND(E26&lt;$T$8,$T24="↑")</formula>
    </cfRule>
    <cfRule type="expression" dxfId="887" priority="136">
      <formula>AND(E26&gt;=$T$8,$T24="↑")</formula>
    </cfRule>
  </conditionalFormatting>
  <conditionalFormatting sqref="E29:R29">
    <cfRule type="expression" dxfId="876" priority="132">
      <formula>AND(E29&gt;=$T$8,$T27="↑")</formula>
    </cfRule>
    <cfRule type="expression" dxfId="875" priority="130">
      <formula>AND(E29&lt;=$T$8,$T27="↓")</formula>
    </cfRule>
    <cfRule type="expression" dxfId="874" priority="133">
      <formula>AND(E29&lt;$T$8,$T27="↑")</formula>
    </cfRule>
    <cfRule type="expression" dxfId="873" priority="131">
      <formula>AND(E29&gt;$T$8,$T27="↓")</formula>
    </cfRule>
  </conditionalFormatting>
  <conditionalFormatting sqref="E32:R32">
    <cfRule type="expression" dxfId="862" priority="126">
      <formula>AND(E32&lt;=$T$8,$T30="↓")</formula>
    </cfRule>
    <cfRule type="expression" dxfId="861" priority="129">
      <formula>AND(E32&lt;$T$8,$T30="↑")</formula>
    </cfRule>
    <cfRule type="expression" dxfId="860" priority="128">
      <formula>AND(E32&gt;=$T$8,$T30="↑")</formula>
    </cfRule>
    <cfRule type="expression" dxfId="859" priority="127">
      <formula>AND(E32&gt;$T$8,$T30="↓")</formula>
    </cfRule>
  </conditionalFormatting>
  <conditionalFormatting sqref="E35:R35">
    <cfRule type="expression" dxfId="848" priority="122">
      <formula>AND(E35&lt;=$T$8,$T33="↓")</formula>
    </cfRule>
    <cfRule type="expression" dxfId="847" priority="123">
      <formula>AND(E35&gt;$T$8,$T33="↓")</formula>
    </cfRule>
    <cfRule type="expression" dxfId="846" priority="124">
      <formula>AND(E35&gt;=$T$8,$T33="↑")</formula>
    </cfRule>
    <cfRule type="expression" dxfId="845" priority="125">
      <formula>AND(E35&lt;$T$8,$T33="↑")</formula>
    </cfRule>
  </conditionalFormatting>
  <conditionalFormatting sqref="E38:R38">
    <cfRule type="expression" dxfId="834" priority="121">
      <formula>AND(E38&lt;$T$8,$T36="↑")</formula>
    </cfRule>
    <cfRule type="expression" dxfId="833" priority="120">
      <formula>AND(E38&gt;=$T$8,$T36="↑")</formula>
    </cfRule>
    <cfRule type="expression" dxfId="832" priority="119">
      <formula>AND(E38&gt;$T$8,$T36="↓")</formula>
    </cfRule>
    <cfRule type="expression" dxfId="831" priority="118">
      <formula>AND(E38&lt;=$T$8,$T36="↓")</formula>
    </cfRule>
  </conditionalFormatting>
  <conditionalFormatting sqref="E41:R41">
    <cfRule type="expression" dxfId="820" priority="114">
      <formula>AND(E41&lt;=$T$8,$T39="↓")</formula>
    </cfRule>
    <cfRule type="expression" dxfId="819" priority="115">
      <formula>AND(E41&gt;$T$8,$T39="↓")</formula>
    </cfRule>
    <cfRule type="expression" dxfId="818" priority="116">
      <formula>AND(E41&gt;=$T$8,$T39="↑")</formula>
    </cfRule>
    <cfRule type="expression" dxfId="817" priority="117">
      <formula>AND(E41&lt;$T$8,$T39="↑")</formula>
    </cfRule>
  </conditionalFormatting>
  <hyperlinks>
    <hyperlink ref="B10" location="'KPI1'!A1" display="'KPI1'!A1" xr:uid="{164CDEB8-74A5-481C-8FAA-F04C57A1589D}"/>
    <hyperlink ref="C10" location="'KPI2'!A1" display="'KPI2'!A1" xr:uid="{F1838DF8-34D4-45B2-97C6-19E186CB05CF}"/>
    <hyperlink ref="D10" location="'KPI3'!A1" display="'KPI3'!A1" xr:uid="{40FEB051-FE58-409E-8446-00D18C51B46E}"/>
    <hyperlink ref="E10" location="'KPI4'!A1" display="'KPI4'!A1" xr:uid="{E7E0C709-8784-4E21-B261-F3AAAFB8AFD0}"/>
    <hyperlink ref="F10" location="'KPI5'!A1" display="'KPI5'!A1" xr:uid="{0A9F0EEC-1EB2-48BF-8EF9-9F1211BF500E}"/>
    <hyperlink ref="G10" location="'KPI6'!A1" display="'KPI6'!A1" xr:uid="{28F3B5C0-350F-4A5F-825D-A877F8DFDF5E}"/>
  </hyperlinks>
  <pageMargins left="0.25" right="0.25" top="0.75" bottom="0.75" header="0.3" footer="0.3"/>
  <pageSetup scale="4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13" id="{D4E569B1-BB04-451C-B1A5-1ED3F0E7F103}">
            <xm:f>'O2'!$F$12=Data!$H$2</xm:f>
            <x14:dxf>
              <numFmt numFmtId="13" formatCode="0%"/>
            </x14:dxf>
          </x14:cfRule>
          <x14:cfRule type="expression" priority="112" id="{B88B5B27-183D-434D-A906-73ED3B39196F}">
            <xm:f>'O2'!$F$12=Data!$H$3</xm:f>
            <x14:dxf>
              <numFmt numFmtId="165" formatCode="0.0%"/>
            </x14:dxf>
          </x14:cfRule>
          <x14:cfRule type="expression" priority="111" id="{1C254363-247E-43E6-935F-F2B2B6B4D21F}">
            <xm:f>'O2'!$F$12=Data!$H$4</xm:f>
            <x14:dxf>
              <numFmt numFmtId="3" formatCode="#,##0"/>
            </x14:dxf>
          </x14:cfRule>
          <x14:cfRule type="expression" priority="110" id="{F2E2CD4B-FE15-4C33-B5CE-51A1ED8A808C}">
            <xm:f>'O2'!$F$12=Data!$H$5</xm:f>
            <x14:dxf>
              <numFmt numFmtId="173" formatCode="0.0"/>
            </x14:dxf>
          </x14:cfRule>
          <x14:cfRule type="expression" priority="109" id="{8FB23EB5-F9F1-4DE5-9899-E713BE20F519}">
            <xm:f>'O2'!$F$12=Data!$H$6</xm:f>
            <x14:dxf>
              <numFmt numFmtId="169" formatCode="#,##0\ &quot;$&quot;"/>
            </x14:dxf>
          </x14:cfRule>
          <x14:cfRule type="expression" priority="108" id="{D50EEA59-950A-434A-BB82-2D4372926FBA}">
            <xm:f>'O2'!$F$12=Data!$H$7</xm:f>
            <x14:dxf>
              <numFmt numFmtId="168" formatCode="[$$-409]#,##0"/>
            </x14:dxf>
          </x14:cfRule>
          <x14:cfRule type="expression" priority="107" id="{30531C07-9C92-4317-A132-0BDC05D97F10}">
            <xm:f>'O2'!$F$12=Data!$H$8</xm:f>
            <x14:dxf>
              <numFmt numFmtId="167" formatCode="#,##0\ [$€-1]"/>
            </x14:dxf>
          </x14:cfRule>
          <x14:cfRule type="expression" priority="106" id="{B78C082B-4A01-4EF3-9DFA-E609FB647D0B}">
            <xm:f>'O2'!$F$12=Data!$H$9</xm:f>
            <x14:dxf>
              <numFmt numFmtId="172" formatCode="[$£-809]#,##0"/>
            </x14:dxf>
          </x14:cfRule>
          <x14:cfRule type="expression" priority="105" id="{689C2860-8561-483A-92A2-92DB466C871F}">
            <xm:f>'O2'!$F$12=Data!$H$10</xm:f>
            <x14:dxf>
              <numFmt numFmtId="166" formatCode="[$R$-416]\ #,##0"/>
            </x14:dxf>
          </x14:cfRule>
          <x14:cfRule type="expression" priority="104" id="{E18E4661-20BB-4581-AE5D-96B9AAFA4163}">
            <xm:f>'O2'!$F$12=Data!$H$11</xm:f>
            <x14:dxf>
              <numFmt numFmtId="171" formatCode="[$-F400]h:mm:ss\ AM/PM"/>
            </x14:dxf>
          </x14:cfRule>
          <xm:sqref>E12:R13</xm:sqref>
        </x14:conditionalFormatting>
        <x14:conditionalFormatting xmlns:xm="http://schemas.microsoft.com/office/excel/2006/main">
          <x14:cfRule type="expression" priority="100" id="{055BF03C-DE5B-4AF2-97A8-14929B875FE4}">
            <xm:f>'O2'!$F$13=Data!$H$5</xm:f>
            <x14:dxf>
              <numFmt numFmtId="173" formatCode="0.0"/>
            </x14:dxf>
          </x14:cfRule>
          <x14:cfRule type="expression" priority="103" id="{5472E01D-DF85-400F-869C-5FF1C7D3EF85}">
            <xm:f>'O2'!$F$13=Data!$H$2</xm:f>
            <x14:dxf>
              <numFmt numFmtId="13" formatCode="0%"/>
            </x14:dxf>
          </x14:cfRule>
          <x14:cfRule type="expression" priority="102" id="{26A17566-67CB-44CA-A4C3-9A89FCE0C6C7}">
            <xm:f>'O2'!$F$13=Data!$H$3</xm:f>
            <x14:dxf>
              <numFmt numFmtId="165" formatCode="0.0%"/>
            </x14:dxf>
          </x14:cfRule>
          <x14:cfRule type="expression" priority="101" id="{93C21FFA-445E-4777-A01B-F7348537B135}">
            <xm:f>'O2'!$F$13=Data!$H$4</xm:f>
            <x14:dxf>
              <numFmt numFmtId="3" formatCode="#,##0"/>
            </x14:dxf>
          </x14:cfRule>
          <x14:cfRule type="expression" priority="99" id="{C3824600-D6A0-4127-9102-0AD5DFEC8B16}">
            <xm:f>'O2'!$F$13=Data!$H$6</xm:f>
            <x14:dxf>
              <numFmt numFmtId="169" formatCode="#,##0\ &quot;$&quot;"/>
            </x14:dxf>
          </x14:cfRule>
          <x14:cfRule type="expression" priority="98" id="{03B6C7CF-870F-4CD4-AF5C-7100A6181860}">
            <xm:f>'O2'!$F$13=Data!$H$7</xm:f>
            <x14:dxf>
              <numFmt numFmtId="168" formatCode="[$$-409]#,##0"/>
            </x14:dxf>
          </x14:cfRule>
          <x14:cfRule type="expression" priority="97" id="{DF05F297-CA22-4542-8CFA-9BEEA65FDCA6}">
            <xm:f>'O2'!$F$13=Data!$H$8</xm:f>
            <x14:dxf>
              <numFmt numFmtId="167" formatCode="#,##0\ [$€-1]"/>
            </x14:dxf>
          </x14:cfRule>
          <x14:cfRule type="expression" priority="96" id="{F82FB991-9CB6-4914-880A-C4F882C94445}">
            <xm:f>'O2'!$F$13=Data!$H$9</xm:f>
            <x14:dxf>
              <numFmt numFmtId="172" formatCode="[$£-809]#,##0"/>
            </x14:dxf>
          </x14:cfRule>
          <x14:cfRule type="expression" priority="94" id="{567F59B9-9D93-4260-8020-D2DB0CF61BBA}">
            <xm:f>'O2'!$F$13=Data!$H$11</xm:f>
            <x14:dxf>
              <numFmt numFmtId="171" formatCode="[$-F400]h:mm:ss\ AM/PM"/>
            </x14:dxf>
          </x14:cfRule>
          <x14:cfRule type="expression" priority="95" id="{683468BB-F732-42EF-AF2C-74754F83A50E}">
            <xm:f>'O2'!$F$13=Data!$H$10</xm:f>
            <x14:dxf>
              <numFmt numFmtId="166" formatCode="[$R$-416]\ #,##0"/>
            </x14:dxf>
          </x14:cfRule>
          <xm:sqref>E15:R16</xm:sqref>
        </x14:conditionalFormatting>
        <x14:conditionalFormatting xmlns:xm="http://schemas.microsoft.com/office/excel/2006/main">
          <x14:cfRule type="expression" priority="90" id="{E7FD20CD-9E17-4031-A70C-2C2750CCD08C}">
            <xm:f>'O2'!$F$14=Data!$H$5</xm:f>
            <x14:dxf>
              <numFmt numFmtId="173" formatCode="0.0"/>
            </x14:dxf>
          </x14:cfRule>
          <x14:cfRule type="expression" priority="88" id="{456FDEF1-B865-402E-90C9-B94CBB26DC8B}">
            <xm:f>'O2'!$F$14=Data!$H$7</xm:f>
            <x14:dxf>
              <numFmt numFmtId="168" formatCode="[$$-409]#,##0"/>
            </x14:dxf>
          </x14:cfRule>
          <x14:cfRule type="expression" priority="93" id="{1C8252CE-58D3-4256-920A-BFB0BEFAA931}">
            <xm:f>'O2'!$F$14=Data!$H$2</xm:f>
            <x14:dxf>
              <numFmt numFmtId="13" formatCode="0%"/>
            </x14:dxf>
          </x14:cfRule>
          <x14:cfRule type="expression" priority="92" id="{FE6F7DF5-0B83-46E2-BB49-4ACB7064030A}">
            <xm:f>'O2'!$F$14=Data!$H$3</xm:f>
            <x14:dxf>
              <numFmt numFmtId="165" formatCode="0.0%"/>
            </x14:dxf>
          </x14:cfRule>
          <x14:cfRule type="expression" priority="91" id="{78BEAC27-50CD-4C21-B77A-C9B9A6003387}">
            <xm:f>'O2'!$F$14=Data!$H$4</xm:f>
            <x14:dxf>
              <numFmt numFmtId="3" formatCode="#,##0"/>
            </x14:dxf>
          </x14:cfRule>
          <x14:cfRule type="expression" priority="89" id="{75531DB1-19F4-405F-A769-F2F32AC0276C}">
            <xm:f>'O2'!$F$14=Data!$H$6</xm:f>
            <x14:dxf>
              <numFmt numFmtId="169" formatCode="#,##0\ &quot;$&quot;"/>
            </x14:dxf>
          </x14:cfRule>
          <x14:cfRule type="expression" priority="87" id="{834738EC-916C-4B8A-9F11-7093CAAEA2D6}">
            <xm:f>'O2'!$F$14=Data!$H$8</xm:f>
            <x14:dxf>
              <numFmt numFmtId="167" formatCode="#,##0\ [$€-1]"/>
            </x14:dxf>
          </x14:cfRule>
          <x14:cfRule type="expression" priority="86" id="{C60B5316-6A44-41B0-93FE-45FB4D086DFE}">
            <xm:f>'O2'!$F$14=Data!$H$9</xm:f>
            <x14:dxf>
              <numFmt numFmtId="172" formatCode="[$£-809]#,##0"/>
            </x14:dxf>
          </x14:cfRule>
          <x14:cfRule type="expression" priority="85" id="{8C0A6777-918E-4E45-B737-A8FF1FB1E8C7}">
            <xm:f>'O2'!$F$14=Data!$H$10</xm:f>
            <x14:dxf>
              <numFmt numFmtId="166" formatCode="[$R$-416]\ #,##0"/>
            </x14:dxf>
          </x14:cfRule>
          <x14:cfRule type="expression" priority="84" id="{E3A5B1F7-52A8-41A8-99EC-CA5C613CDFD5}">
            <xm:f>'O2'!$F$14=Data!$H$11</xm:f>
            <x14:dxf>
              <numFmt numFmtId="171" formatCode="[$-F400]h:mm:ss\ AM/PM"/>
            </x14:dxf>
          </x14:cfRule>
          <xm:sqref>E18:R19</xm:sqref>
        </x14:conditionalFormatting>
        <x14:conditionalFormatting xmlns:xm="http://schemas.microsoft.com/office/excel/2006/main">
          <x14:cfRule type="expression" priority="78" id="{95DDCAF3-CD35-4154-8F10-C907D8C4EB26}">
            <xm:f>'O2'!$F$15=Data!$H$7</xm:f>
            <x14:dxf>
              <numFmt numFmtId="168" formatCode="[$$-409]#,##0"/>
            </x14:dxf>
          </x14:cfRule>
          <x14:cfRule type="expression" priority="74" id="{EF8DDA55-883E-44C8-98CE-FED32410C56A}">
            <xm:f>'O2'!$F$15=Data!$H$11</xm:f>
            <x14:dxf>
              <numFmt numFmtId="171" formatCode="[$-F400]h:mm:ss\ AM/PM"/>
            </x14:dxf>
          </x14:cfRule>
          <x14:cfRule type="expression" priority="79" id="{394FA705-97B1-4C6E-8A72-3C11C18BCB32}">
            <xm:f>'O2'!$F$15=Data!$H$6</xm:f>
            <x14:dxf>
              <numFmt numFmtId="169" formatCode="#,##0\ &quot;$&quot;"/>
            </x14:dxf>
          </x14:cfRule>
          <x14:cfRule type="expression" priority="77" id="{9FFCDB03-9559-420B-BA2C-163931B95CD9}">
            <xm:f>'O2'!$F$15=Data!$H$8</xm:f>
            <x14:dxf>
              <numFmt numFmtId="167" formatCode="#,##0\ [$€-1]"/>
            </x14:dxf>
          </x14:cfRule>
          <x14:cfRule type="expression" priority="83" id="{1B856E5C-172E-4663-BB99-4340F604CDA9}">
            <xm:f>'O2'!$F$15=Data!$H$2</xm:f>
            <x14:dxf>
              <numFmt numFmtId="13" formatCode="0%"/>
            </x14:dxf>
          </x14:cfRule>
          <x14:cfRule type="expression" priority="82" id="{67BA36FD-A103-4F47-8B43-C3823313177F}">
            <xm:f>'O2'!$F$15=Data!$H$3</xm:f>
            <x14:dxf>
              <numFmt numFmtId="165" formatCode="0.0%"/>
            </x14:dxf>
          </x14:cfRule>
          <x14:cfRule type="expression" priority="81" id="{965F0CE5-50EE-4A2D-9304-72E81ECEF773}">
            <xm:f>'O2'!$F$15=Data!$H$4</xm:f>
            <x14:dxf>
              <numFmt numFmtId="3" formatCode="#,##0"/>
            </x14:dxf>
          </x14:cfRule>
          <x14:cfRule type="expression" priority="80" id="{88C96F83-7C24-4814-99DA-E5C22E435AB2}">
            <xm:f>'O2'!$F$15=Data!$H$5</xm:f>
            <x14:dxf>
              <numFmt numFmtId="173" formatCode="0.0"/>
            </x14:dxf>
          </x14:cfRule>
          <x14:cfRule type="expression" priority="76" id="{4E0DEF27-A339-40B8-A8EB-C2490592D1F9}">
            <xm:f>'O2'!$F$15=Data!$H$9</xm:f>
            <x14:dxf>
              <numFmt numFmtId="172" formatCode="[$£-809]#,##0"/>
            </x14:dxf>
          </x14:cfRule>
          <x14:cfRule type="expression" priority="75" id="{C5AD5E15-E19E-426C-8CAC-C42D4A046ACA}">
            <xm:f>'O2'!$F$15=Data!$H$10</xm:f>
            <x14:dxf>
              <numFmt numFmtId="166" formatCode="[$R$-416]\ #,##0"/>
            </x14:dxf>
          </x14:cfRule>
          <xm:sqref>E21:R22</xm:sqref>
        </x14:conditionalFormatting>
        <x14:conditionalFormatting xmlns:xm="http://schemas.microsoft.com/office/excel/2006/main">
          <x14:cfRule type="expression" priority="67" id="{5EC46C98-51A8-4471-AD4E-779E5DF0279D}">
            <xm:f>'O2'!$F$16=Data!$H$8</xm:f>
            <x14:dxf>
              <numFmt numFmtId="167" formatCode="#,##0\ [$€-1]"/>
            </x14:dxf>
          </x14:cfRule>
          <x14:cfRule type="expression" priority="72" id="{1720D28A-CFAF-477D-BC42-C13D16FEA9EC}">
            <xm:f>'O2'!$F$16=Data!$H$3</xm:f>
            <x14:dxf>
              <numFmt numFmtId="165" formatCode="0.0%"/>
            </x14:dxf>
          </x14:cfRule>
          <x14:cfRule type="expression" priority="73" id="{887B98A3-52D5-4081-9A62-B55B54ED553E}">
            <xm:f>'O2'!$F$16=Data!$H$2</xm:f>
            <x14:dxf>
              <numFmt numFmtId="13" formatCode="0%"/>
            </x14:dxf>
          </x14:cfRule>
          <x14:cfRule type="expression" priority="66" id="{43F5D69F-12B1-459C-8EB3-A19C3408C10C}">
            <xm:f>'O2'!$F$16=Data!$H$9</xm:f>
            <x14:dxf>
              <numFmt numFmtId="172" formatCode="[$£-809]#,##0"/>
            </x14:dxf>
          </x14:cfRule>
          <x14:cfRule type="expression" priority="65" id="{F83D335C-5AED-4FED-BD11-DF0CAC3E96A6}">
            <xm:f>'O2'!$F$16=Data!$H$10</xm:f>
            <x14:dxf>
              <numFmt numFmtId="166" formatCode="[$R$-416]\ #,##0"/>
            </x14:dxf>
          </x14:cfRule>
          <x14:cfRule type="expression" priority="64" id="{8AF5F848-03F9-48D9-B998-84B8FD9817C7}">
            <xm:f>'O2'!$F$16=Data!$H$11</xm:f>
            <x14:dxf>
              <numFmt numFmtId="171" formatCode="[$-F400]h:mm:ss\ AM/PM"/>
            </x14:dxf>
          </x14:cfRule>
          <x14:cfRule type="expression" priority="68" id="{4D356034-D6C6-4460-938E-DF14845F272C}">
            <xm:f>'O2'!$F$16=Data!$H$7</xm:f>
            <x14:dxf>
              <numFmt numFmtId="168" formatCode="[$$-409]#,##0"/>
            </x14:dxf>
          </x14:cfRule>
          <x14:cfRule type="expression" priority="70" id="{2E744444-37C4-4852-B66F-D7B5B5938632}">
            <xm:f>'O2'!$F$16=Data!$H$5</xm:f>
            <x14:dxf>
              <numFmt numFmtId="173" formatCode="0.0"/>
            </x14:dxf>
          </x14:cfRule>
          <x14:cfRule type="expression" priority="71" id="{685B3097-EE2E-41A7-BB3A-5E9D62CD12A1}">
            <xm:f>'O2'!$F$16=Data!$H$4</xm:f>
            <x14:dxf>
              <numFmt numFmtId="3" formatCode="#,##0"/>
            </x14:dxf>
          </x14:cfRule>
          <x14:cfRule type="expression" priority="69" id="{7794D4DC-8654-4097-81F3-2AF960E35948}">
            <xm:f>'O2'!$F$16=Data!$H$6</xm:f>
            <x14:dxf>
              <numFmt numFmtId="169" formatCode="#,##0\ &quot;$&quot;"/>
            </x14:dxf>
          </x14:cfRule>
          <xm:sqref>E24:R25</xm:sqref>
        </x14:conditionalFormatting>
        <x14:conditionalFormatting xmlns:xm="http://schemas.microsoft.com/office/excel/2006/main">
          <x14:cfRule type="expression" priority="56" id="{4A978FA7-45B5-48DF-9377-EB38E1AE56D6}">
            <xm:f>'O2'!$F$17=Data!$H$9</xm:f>
            <x14:dxf>
              <numFmt numFmtId="172" formatCode="[$£-809]#,##0"/>
            </x14:dxf>
          </x14:cfRule>
          <x14:cfRule type="expression" priority="55" id="{A51B9424-A18F-4A0E-B265-3D8B44575355}">
            <xm:f>'O2'!$F$17=Data!$H$10</xm:f>
            <x14:dxf>
              <numFmt numFmtId="166" formatCode="[$R$-416]\ #,##0"/>
            </x14:dxf>
          </x14:cfRule>
          <x14:cfRule type="expression" priority="63" id="{739B851C-7B0E-4504-98AB-3BBA1FA3A224}">
            <xm:f>'O2'!$F$17=Data!$H$2</xm:f>
            <x14:dxf>
              <numFmt numFmtId="13" formatCode="0%"/>
            </x14:dxf>
          </x14:cfRule>
          <x14:cfRule type="expression" priority="62" id="{47F4C716-E64A-4E00-9121-C264CD0B4024}">
            <xm:f>'O2'!$F$17=Data!$H$3</xm:f>
            <x14:dxf>
              <numFmt numFmtId="165" formatCode="0.0%"/>
            </x14:dxf>
          </x14:cfRule>
          <x14:cfRule type="expression" priority="61" id="{C535611E-484A-4BE8-97D7-ADE877127B67}">
            <xm:f>'O2'!$F$17=Data!$H$4</xm:f>
            <x14:dxf>
              <numFmt numFmtId="3" formatCode="#,##0"/>
            </x14:dxf>
          </x14:cfRule>
          <x14:cfRule type="expression" priority="60" id="{E0E56AA3-07BF-4182-9AE7-B26CF781EF50}">
            <xm:f>'O2'!$F$17=Data!$H$5</xm:f>
            <x14:dxf>
              <numFmt numFmtId="173" formatCode="0.0"/>
            </x14:dxf>
          </x14:cfRule>
          <x14:cfRule type="expression" priority="54" id="{059BD8F6-4D3F-49AC-8AB9-05F2F7C40693}">
            <xm:f>'O2'!$F$17=Data!$H$11</xm:f>
            <x14:dxf>
              <numFmt numFmtId="171" formatCode="[$-F400]h:mm:ss\ AM/PM"/>
            </x14:dxf>
          </x14:cfRule>
          <x14:cfRule type="expression" priority="57" id="{053E7E09-0B62-4441-8B0A-FB7116118A29}">
            <xm:f>'O2'!$F$17=Data!$H$8</xm:f>
            <x14:dxf>
              <numFmt numFmtId="167" formatCode="#,##0\ [$€-1]"/>
            </x14:dxf>
          </x14:cfRule>
          <x14:cfRule type="expression" priority="59" id="{060F7F22-2314-462F-A468-FAA223411032}">
            <xm:f>'O2'!$F$17=Data!$H$6</xm:f>
            <x14:dxf>
              <numFmt numFmtId="169" formatCode="#,##0\ &quot;$&quot;"/>
            </x14:dxf>
          </x14:cfRule>
          <x14:cfRule type="expression" priority="58" id="{24AFD08B-1098-4EE5-A3FB-0D7BBD287AEC}">
            <xm:f>'O2'!$F$17=Data!$H$7</xm:f>
            <x14:dxf>
              <numFmt numFmtId="168" formatCode="[$$-409]#,##0"/>
            </x14:dxf>
          </x14:cfRule>
          <xm:sqref>E27:R28</xm:sqref>
        </x14:conditionalFormatting>
        <x14:conditionalFormatting xmlns:xm="http://schemas.microsoft.com/office/excel/2006/main">
          <x14:cfRule type="expression" priority="50" id="{31CAC84E-E7C6-4B69-8B64-3E96F7994764}">
            <xm:f>'O2'!$F$18=Data!$H$5</xm:f>
            <x14:dxf>
              <numFmt numFmtId="173" formatCode="0.0"/>
            </x14:dxf>
          </x14:cfRule>
          <x14:cfRule type="expression" priority="44" id="{9F1BDD62-4E09-4E3D-8015-BC3A1E99BA1C}">
            <xm:f>'O2'!$F$18=Data!$H$11</xm:f>
            <x14:dxf>
              <numFmt numFmtId="171" formatCode="[$-F400]h:mm:ss\ AM/PM"/>
            </x14:dxf>
          </x14:cfRule>
          <x14:cfRule type="expression" priority="45" id="{50291EF0-839C-484C-BC21-FFDBC458D768}">
            <xm:f>'O2'!$F$18=Data!$H$10</xm:f>
            <x14:dxf>
              <numFmt numFmtId="166" formatCode="[$R$-416]\ #,##0"/>
            </x14:dxf>
          </x14:cfRule>
          <x14:cfRule type="expression" priority="46" id="{7338F012-2037-40EA-BFA7-3A7A0972E7B5}">
            <xm:f>'O2'!$F$18=Data!$H$9</xm:f>
            <x14:dxf>
              <numFmt numFmtId="172" formatCode="[$£-809]#,##0"/>
            </x14:dxf>
          </x14:cfRule>
          <x14:cfRule type="expression" priority="47" id="{B9990F4E-ADC0-47DF-85A4-9AE1A9009B87}">
            <xm:f>'O2'!$F$18=Data!$H$8</xm:f>
            <x14:dxf>
              <numFmt numFmtId="167" formatCode="#,##0\ [$€-1]"/>
            </x14:dxf>
          </x14:cfRule>
          <x14:cfRule type="expression" priority="48" id="{F95A38BA-F605-43B9-B2EC-D8832E4F4B00}">
            <xm:f>'O2'!$F$18=Data!$H$7</xm:f>
            <x14:dxf>
              <numFmt numFmtId="168" formatCode="[$$-409]#,##0"/>
            </x14:dxf>
          </x14:cfRule>
          <x14:cfRule type="expression" priority="49" id="{BBB33B11-C810-4C2F-8DA9-488F5A0759C4}">
            <xm:f>'O2'!$F$18=Data!$H$6</xm:f>
            <x14:dxf>
              <numFmt numFmtId="169" formatCode="#,##0\ &quot;$&quot;"/>
            </x14:dxf>
          </x14:cfRule>
          <x14:cfRule type="expression" priority="52" id="{48543B66-8EAA-4B1A-8C13-545E826913D8}">
            <xm:f>'O2'!$F$18=Data!$H$3</xm:f>
            <x14:dxf>
              <numFmt numFmtId="165" formatCode="0.0%"/>
            </x14:dxf>
          </x14:cfRule>
          <x14:cfRule type="expression" priority="53" id="{BDF4F88F-4348-455D-B821-C5130B109AB4}">
            <xm:f>'O2'!$F$18=Data!$H$2</xm:f>
            <x14:dxf>
              <numFmt numFmtId="13" formatCode="0%"/>
            </x14:dxf>
          </x14:cfRule>
          <x14:cfRule type="expression" priority="51" id="{1793B308-C592-4DB0-A3D9-E80613CB5473}">
            <xm:f>'O2'!$F$18=Data!$H$4</xm:f>
            <x14:dxf>
              <numFmt numFmtId="3" formatCode="#,##0"/>
            </x14:dxf>
          </x14:cfRule>
          <xm:sqref>E30:R31</xm:sqref>
        </x14:conditionalFormatting>
        <x14:conditionalFormatting xmlns:xm="http://schemas.microsoft.com/office/excel/2006/main">
          <x14:cfRule type="expression" priority="36" id="{AB4123C3-B239-4941-990B-9334B0E22D83}">
            <xm:f>'O2'!$F$19=Data!$H$9</xm:f>
            <x14:dxf>
              <numFmt numFmtId="172" formatCode="[$£-809]#,##0"/>
            </x14:dxf>
          </x14:cfRule>
          <x14:cfRule type="expression" priority="35" id="{F5579365-D377-43F8-8946-387DD98626D2}">
            <xm:f>'O2'!$F$19=Data!$H$10</xm:f>
            <x14:dxf>
              <numFmt numFmtId="166" formatCode="[$R$-416]\ #,##0"/>
            </x14:dxf>
          </x14:cfRule>
          <x14:cfRule type="expression" priority="37" id="{1B6464D3-6A08-4E63-887A-D99003D11DAE}">
            <xm:f>'O2'!$F$19=Data!$H$8</xm:f>
            <x14:dxf>
              <numFmt numFmtId="167" formatCode="#,##0\ [$€-1]"/>
            </x14:dxf>
          </x14:cfRule>
          <x14:cfRule type="expression" priority="38" id="{FB89753C-758B-4E02-9E44-64555ECFA163}">
            <xm:f>'O2'!$F$19=Data!$H$7</xm:f>
            <x14:dxf>
              <numFmt numFmtId="168" formatCode="[$$-409]#,##0"/>
            </x14:dxf>
          </x14:cfRule>
          <x14:cfRule type="expression" priority="39" id="{561156FD-A6C1-48C4-803C-C82F07750976}">
            <xm:f>'O2'!$F$19=Data!$H$6</xm:f>
            <x14:dxf>
              <numFmt numFmtId="169" formatCode="#,##0\ &quot;$&quot;"/>
            </x14:dxf>
          </x14:cfRule>
          <x14:cfRule type="expression" priority="40" id="{10810FD0-860B-4A78-8C37-80AC3FA89D7C}">
            <xm:f>'O2'!$F$19=Data!$H$5</xm:f>
            <x14:dxf>
              <numFmt numFmtId="173" formatCode="0.0"/>
            </x14:dxf>
          </x14:cfRule>
          <x14:cfRule type="expression" priority="41" id="{E87EDA91-0CD2-4208-97D5-E2BED4AEFB4B}">
            <xm:f>'O2'!$F$19=Data!$H$4</xm:f>
            <x14:dxf>
              <numFmt numFmtId="3" formatCode="#,##0"/>
            </x14:dxf>
          </x14:cfRule>
          <x14:cfRule type="expression" priority="42" id="{2E5DA559-283A-448B-B422-3A693A1E3108}">
            <xm:f>'O2'!$F$19=Data!$H$3</xm:f>
            <x14:dxf>
              <numFmt numFmtId="165" formatCode="0.0%"/>
            </x14:dxf>
          </x14:cfRule>
          <x14:cfRule type="expression" priority="43" id="{4045F8AA-8B11-4B4A-BC81-6A0608E6B74B}">
            <xm:f>'O2'!$F$19=Data!$H$2</xm:f>
            <x14:dxf>
              <numFmt numFmtId="13" formatCode="0%"/>
            </x14:dxf>
          </x14:cfRule>
          <x14:cfRule type="expression" priority="34" id="{55AE2AAE-AB92-4BD5-8CF7-E6995D8BBBC2}">
            <xm:f>'O2'!$F$19=Data!$H$11</xm:f>
            <x14:dxf>
              <numFmt numFmtId="171" formatCode="[$-F400]h:mm:ss\ AM/PM"/>
            </x14:dxf>
          </x14:cfRule>
          <xm:sqref>E33:R34</xm:sqref>
        </x14:conditionalFormatting>
        <x14:conditionalFormatting xmlns:xm="http://schemas.microsoft.com/office/excel/2006/main">
          <x14:cfRule type="expression" priority="25" id="{5D6F4959-883F-4201-BF57-D97BB70DC7A1}">
            <xm:f>'O2'!$F$20=Data!$H$10</xm:f>
            <x14:dxf>
              <numFmt numFmtId="166" formatCode="[$R$-416]\ #,##0"/>
            </x14:dxf>
          </x14:cfRule>
          <x14:cfRule type="expression" priority="26" id="{20D3EE12-A8BA-4B66-8907-2A04ADD08B41}">
            <xm:f>'O2'!$F$20=Data!$H$9</xm:f>
            <x14:dxf>
              <numFmt numFmtId="172" formatCode="[$£-809]#,##0"/>
            </x14:dxf>
          </x14:cfRule>
          <x14:cfRule type="expression" priority="27" id="{6C6BAA67-21EA-4211-BDCF-2B656E13F623}">
            <xm:f>'O2'!$F$20=Data!$H$8</xm:f>
            <x14:dxf>
              <numFmt numFmtId="167" formatCode="#,##0\ [$€-1]"/>
            </x14:dxf>
          </x14:cfRule>
          <x14:cfRule type="expression" priority="28" id="{B0356866-7439-4E60-BAA6-2938D00E641F}">
            <xm:f>'O2'!$F$20=Data!$H$7</xm:f>
            <x14:dxf>
              <numFmt numFmtId="168" formatCode="[$$-409]#,##0"/>
            </x14:dxf>
          </x14:cfRule>
          <x14:cfRule type="expression" priority="29" id="{4744A8DE-7FFE-45FA-B357-A25471A9FC57}">
            <xm:f>'O2'!$F$20=Data!$H$6</xm:f>
            <x14:dxf>
              <numFmt numFmtId="169" formatCode="#,##0\ &quot;$&quot;"/>
            </x14:dxf>
          </x14:cfRule>
          <x14:cfRule type="expression" priority="30" id="{B2BABC8F-BD37-41B3-A039-C52E5EC8BC0E}">
            <xm:f>'O2'!$F$20=Data!$H$5</xm:f>
            <x14:dxf>
              <numFmt numFmtId="173" formatCode="0.0"/>
            </x14:dxf>
          </x14:cfRule>
          <x14:cfRule type="expression" priority="31" id="{959E988A-546A-4BEA-BEB7-0600656842A9}">
            <xm:f>'O2'!$F$20=Data!$H$4</xm:f>
            <x14:dxf>
              <numFmt numFmtId="3" formatCode="#,##0"/>
            </x14:dxf>
          </x14:cfRule>
          <x14:cfRule type="expression" priority="32" id="{74F555F3-0874-4F36-80E5-2EBC72076241}">
            <xm:f>'O2'!$F$20=Data!$H$3</xm:f>
            <x14:dxf>
              <numFmt numFmtId="165" formatCode="0.0%"/>
            </x14:dxf>
          </x14:cfRule>
          <x14:cfRule type="expression" priority="33" id="{A158002F-BD36-4325-B238-9A74093A6F50}">
            <xm:f>'O2'!$F$20=Data!$H$2</xm:f>
            <x14:dxf>
              <numFmt numFmtId="13" formatCode="0%"/>
            </x14:dxf>
          </x14:cfRule>
          <x14:cfRule type="expression" priority="24" id="{2723E49A-434D-42DD-ADCA-44FDE947D747}">
            <xm:f>'O2'!$F$20=Data!$H$11</xm:f>
            <x14:dxf>
              <numFmt numFmtId="171" formatCode="[$-F400]h:mm:ss\ AM/PM"/>
            </x14:dxf>
          </x14:cfRule>
          <xm:sqref>E36:R37</xm:sqref>
        </x14:conditionalFormatting>
        <x14:conditionalFormatting xmlns:xm="http://schemas.microsoft.com/office/excel/2006/main">
          <x14:cfRule type="expression" priority="19" id="{15020A36-EDA3-4745-A9B6-E33D0D1BD661}">
            <xm:f>'O2'!$F$21=Data!$H$6</xm:f>
            <x14:dxf>
              <numFmt numFmtId="169" formatCode="#,##0\ &quot;$&quot;"/>
            </x14:dxf>
          </x14:cfRule>
          <x14:cfRule type="expression" priority="20" id="{FC7A28D1-3240-4FCB-846C-E99D70F0FD33}">
            <xm:f>'O2'!$F$21=Data!$H$5</xm:f>
            <x14:dxf>
              <numFmt numFmtId="173" formatCode="0.0"/>
            </x14:dxf>
          </x14:cfRule>
          <x14:cfRule type="expression" priority="21" id="{6F94CC6D-366C-4711-BCE9-F0D062E02A1E}">
            <xm:f>'O2'!$F$21=Data!$H$4</xm:f>
            <x14:dxf>
              <numFmt numFmtId="3" formatCode="#,##0"/>
            </x14:dxf>
          </x14:cfRule>
          <x14:cfRule type="expression" priority="23" id="{6AB856A3-642C-47A1-87E4-71993AECB9D3}">
            <xm:f>'O2'!$F$21=Data!$H$2</xm:f>
            <x14:dxf>
              <numFmt numFmtId="13" formatCode="0%"/>
            </x14:dxf>
          </x14:cfRule>
          <x14:cfRule type="expression" priority="18" id="{C42870B0-0B98-4CEB-AF2B-2FECAFA37FD1}">
            <xm:f>'O2'!$F$21=Data!$H$7</xm:f>
            <x14:dxf>
              <numFmt numFmtId="168" formatCode="[$$-409]#,##0"/>
            </x14:dxf>
          </x14:cfRule>
          <x14:cfRule type="expression" priority="17" id="{F12B1186-BA29-4E53-BC76-61B1A69746EB}">
            <xm:f>'O2'!$F$21=Data!$H$8</xm:f>
            <x14:dxf>
              <numFmt numFmtId="167" formatCode="#,##0\ [$€-1]"/>
            </x14:dxf>
          </x14:cfRule>
          <x14:cfRule type="expression" priority="16" id="{AB9370F7-0257-44F8-BA77-EE68B8CE13F5}">
            <xm:f>'O2'!$F$21=Data!$H$9</xm:f>
            <x14:dxf>
              <numFmt numFmtId="172" formatCode="[$£-809]#,##0"/>
            </x14:dxf>
          </x14:cfRule>
          <x14:cfRule type="expression" priority="15" id="{63460B4D-1D55-4D52-AC24-763DB42D075E}">
            <xm:f>'O2'!$F$21=Data!$H$10</xm:f>
            <x14:dxf>
              <numFmt numFmtId="166" formatCode="[$R$-416]\ #,##0"/>
            </x14:dxf>
          </x14:cfRule>
          <x14:cfRule type="expression" priority="14" id="{2C48F64F-CA43-43BA-80F7-C199EF140653}">
            <xm:f>'O2'!$F$21=Data!$H$11</xm:f>
            <x14:dxf>
              <numFmt numFmtId="171" formatCode="[$-F400]h:mm:ss\ AM/PM"/>
            </x14:dxf>
          </x14:cfRule>
          <x14:cfRule type="expression" priority="22" id="{690AB81F-6594-47F5-88B2-68FB90982E9C}">
            <xm:f>'O2'!$F$21=Data!$H$3</xm:f>
            <x14:dxf>
              <numFmt numFmtId="165" formatCode="0.0%"/>
            </x14:dxf>
          </x14:cfRule>
          <xm:sqref>E39:R40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C87D1-0EED-42EF-818F-B1FD8F1701BA}">
  <dimension ref="A1:U87"/>
  <sheetViews>
    <sheetView showGridLines="0" showRowColHeaders="0" zoomScaleNormal="100" workbookViewId="0">
      <selection activeCell="E10" sqref="E10"/>
    </sheetView>
  </sheetViews>
  <sheetFormatPr baseColWidth="10" defaultColWidth="11.5" defaultRowHeight="15"/>
  <cols>
    <col min="1" max="1" width="2.6640625" style="290" customWidth="1"/>
    <col min="2" max="18" width="16.6640625" style="290" customWidth="1"/>
    <col min="19" max="19" width="1.5" style="290" customWidth="1"/>
    <col min="20" max="21" width="11.5" style="290" hidden="1" customWidth="1"/>
    <col min="22" max="16384" width="11.5" style="290"/>
  </cols>
  <sheetData>
    <row r="1" spans="1:21" s="249" customFormat="1" ht="39" customHeight="1">
      <c r="A1" s="248"/>
      <c r="B1" s="248"/>
      <c r="C1" s="248"/>
      <c r="D1" s="248"/>
      <c r="E1" s="248"/>
      <c r="F1" s="248"/>
      <c r="G1" s="248"/>
      <c r="H1" s="248"/>
      <c r="I1" s="248"/>
      <c r="J1" s="248"/>
      <c r="K1" s="248"/>
      <c r="L1" s="248"/>
      <c r="M1" s="248"/>
      <c r="N1" s="248"/>
      <c r="O1" s="248"/>
      <c r="P1" s="248"/>
      <c r="Q1" s="248"/>
      <c r="R1" s="248"/>
      <c r="S1" s="248"/>
    </row>
    <row r="2" spans="1:21" s="308" customFormat="1" ht="25" customHeight="1"/>
    <row r="3" spans="1:21" s="287" customFormat="1" ht="18" customHeight="1"/>
    <row r="4" spans="1:21" s="287" customFormat="1" ht="18" customHeight="1"/>
    <row r="5" spans="1:21" s="287" customFormat="1" ht="20" customHeight="1"/>
    <row r="6" spans="1:21" ht="20" customHeight="1">
      <c r="A6" s="288"/>
      <c r="B6" s="288"/>
      <c r="C6" s="288"/>
      <c r="D6" s="288"/>
      <c r="E6" s="288"/>
      <c r="F6" s="288"/>
      <c r="G6" s="288"/>
      <c r="H6" s="288"/>
    </row>
    <row r="7" spans="1:21" ht="20" customHeight="1">
      <c r="A7" s="92"/>
      <c r="B7" s="303" t="str">
        <f>Lan!F43&amp;" - "&amp;Goals!C14</f>
        <v>2.3. Objetivos - Fortalecer el posicionamiento de la marca Caracolitos a nivel nacional.</v>
      </c>
      <c r="C7" s="303"/>
      <c r="D7" s="303"/>
      <c r="E7" s="303"/>
      <c r="F7" s="303"/>
      <c r="G7" s="360"/>
      <c r="H7" s="360"/>
      <c r="I7" s="93"/>
      <c r="J7" s="93"/>
      <c r="K7" s="93"/>
      <c r="L7" s="93"/>
      <c r="M7" s="93"/>
      <c r="N7" s="93"/>
      <c r="O7" s="93"/>
      <c r="P7" s="93"/>
      <c r="Q7" s="93"/>
      <c r="R7" s="93"/>
    </row>
    <row r="8" spans="1:21" ht="20" customHeight="1">
      <c r="A8" s="92"/>
      <c r="B8" s="334" t="str">
        <f>Lan!F44</f>
        <v>Los objetivos proporcionan hitos específicos con un cronograma específico para lograr una meta.</v>
      </c>
      <c r="C8" s="92"/>
      <c r="D8" s="92"/>
      <c r="E8" s="92"/>
      <c r="F8" s="92"/>
      <c r="G8" s="92"/>
      <c r="H8" s="92"/>
      <c r="I8" s="93"/>
      <c r="J8" s="93"/>
      <c r="K8" s="93"/>
      <c r="L8" s="93"/>
      <c r="M8" s="93"/>
      <c r="N8" s="93"/>
      <c r="O8" s="93"/>
      <c r="P8" s="93"/>
      <c r="Q8" s="93"/>
      <c r="R8" s="93"/>
      <c r="T8" s="415">
        <f>Settings!E22</f>
        <v>0.9</v>
      </c>
      <c r="U8" s="93"/>
    </row>
    <row r="9" spans="1:21" ht="20" customHeight="1" thickBot="1">
      <c r="A9" s="92"/>
      <c r="B9" s="92"/>
      <c r="C9" s="92"/>
      <c r="D9" s="92"/>
      <c r="E9" s="92"/>
      <c r="F9" s="92"/>
      <c r="G9" s="92"/>
      <c r="H9" s="92"/>
      <c r="I9" s="93"/>
      <c r="J9" s="93"/>
      <c r="K9" s="93"/>
      <c r="L9" s="93"/>
      <c r="M9" s="93"/>
      <c r="N9" s="93"/>
      <c r="O9" s="93"/>
      <c r="P9" s="93"/>
      <c r="Q9" s="93"/>
      <c r="R9" s="93"/>
      <c r="T9" s="415"/>
      <c r="U9" s="93"/>
    </row>
    <row r="10" spans="1:21" ht="20" customHeight="1" thickTop="1" thickBot="1">
      <c r="A10" s="92"/>
      <c r="B10" s="419" t="str">
        <f>IF(Goals!$C$12="","",Goals!$B$12)</f>
        <v>Meta 1</v>
      </c>
      <c r="C10" s="419" t="str">
        <f>IF(Goals!$C$13="","",Goals!$B$13)</f>
        <v>Meta 2</v>
      </c>
      <c r="D10" s="420" t="str">
        <f>IF(Goals!$C$14="","",Goals!$B$14)</f>
        <v>Meta 3</v>
      </c>
      <c r="E10" s="419" t="str">
        <f>IF(Goals!$C$15="","",Goals!$B$15)</f>
        <v>Meta 4</v>
      </c>
      <c r="F10" s="419" t="str">
        <f>IF(Goals!$C$16="","",Goals!$B$16)</f>
        <v>Meta 5</v>
      </c>
      <c r="G10" s="419" t="str">
        <f>IF(Goals!$C$17="","",Goals!$B$17)</f>
        <v>Meta 6</v>
      </c>
      <c r="H10" s="409"/>
      <c r="I10" s="410"/>
      <c r="J10" s="410"/>
      <c r="K10" s="410"/>
      <c r="L10" s="410"/>
      <c r="M10" s="410"/>
      <c r="N10" s="410"/>
      <c r="O10" s="410"/>
      <c r="P10" s="410"/>
      <c r="Q10" s="410"/>
      <c r="R10" s="411"/>
      <c r="T10" s="415"/>
      <c r="U10" s="93"/>
    </row>
    <row r="11" spans="1:21" ht="30" customHeight="1" thickTop="1" thickBot="1">
      <c r="A11" s="92"/>
      <c r="B11" s="503" t="str">
        <f>Lan!$F$45</f>
        <v>Objetivos</v>
      </c>
      <c r="C11" s="504"/>
      <c r="D11" s="365" t="str">
        <f>Lan!$F$57&amp;" / "&amp;Lan!$F$58</f>
        <v>Actual / Meta</v>
      </c>
      <c r="E11" s="365" t="str">
        <f>Data!$A$2</f>
        <v>ENE</v>
      </c>
      <c r="F11" s="365" t="str">
        <f>Data!$A$3</f>
        <v>FEB</v>
      </c>
      <c r="G11" s="365" t="str">
        <f>Data!$A$4</f>
        <v>MAR</v>
      </c>
      <c r="H11" s="365" t="str">
        <f>Data!$A$5</f>
        <v>ABR</v>
      </c>
      <c r="I11" s="365" t="str">
        <f>Data!$A$6</f>
        <v>MAY</v>
      </c>
      <c r="J11" s="365" t="str">
        <f>Data!$A$7</f>
        <v>JUN</v>
      </c>
      <c r="K11" s="365" t="str">
        <f>Data!$A$8</f>
        <v>JUL</v>
      </c>
      <c r="L11" s="365" t="str">
        <f>Data!$A$9</f>
        <v>AGO</v>
      </c>
      <c r="M11" s="365" t="str">
        <f>Data!$A$10</f>
        <v>SEP</v>
      </c>
      <c r="N11" s="365" t="str">
        <f>Data!$A$11</f>
        <v>OCT</v>
      </c>
      <c r="O11" s="365" t="str">
        <f>Data!$A$12</f>
        <v>NOV</v>
      </c>
      <c r="P11" s="365" t="str">
        <f>Data!$A$13</f>
        <v>DIC</v>
      </c>
      <c r="Q11" s="365" t="str">
        <f>Lan!F60</f>
        <v>Acumulado</v>
      </c>
      <c r="R11" s="365" t="str">
        <f>Data!$A$15</f>
        <v>TOTAL</v>
      </c>
      <c r="T11" s="93"/>
      <c r="U11" s="93"/>
    </row>
    <row r="12" spans="1:21" ht="22" customHeight="1">
      <c r="A12" s="288"/>
      <c r="B12" s="497" t="str">
        <f>IF('O3'!B12="","",'O3'!B12)</f>
        <v>Incrementar en 30% el reconocimiento de marca en redes sociales antes de junio de 2026.</v>
      </c>
      <c r="C12" s="498"/>
      <c r="D12" s="400" t="str">
        <f>IF(B12="","",Lan!$F$57)</f>
        <v>Actual</v>
      </c>
      <c r="E12" s="94">
        <v>12000</v>
      </c>
      <c r="F12" s="94">
        <v>12000</v>
      </c>
      <c r="G12" s="94">
        <v>8999</v>
      </c>
      <c r="H12" s="94">
        <v>9451</v>
      </c>
      <c r="I12" s="94">
        <v>10452</v>
      </c>
      <c r="J12" s="94">
        <v>10985</v>
      </c>
      <c r="K12" s="94">
        <v>11745</v>
      </c>
      <c r="L12" s="94">
        <v>11555</v>
      </c>
      <c r="M12" s="94">
        <v>12350</v>
      </c>
      <c r="N12" s="94">
        <v>12854</v>
      </c>
      <c r="O12" s="94">
        <v>14123</v>
      </c>
      <c r="P12" s="94">
        <v>14523</v>
      </c>
      <c r="Q12" s="402">
        <f t="array" ref="Q12">IF(B12="","",IFERROR(IF('O3'!$H$12=Data!$J$4,INDEX('KPI3'!E12:P12,COUNT(E12:P12)),IF('O3'!$H$12=Data!$J$2,SUM('KPI3'!E12:P12),IF('O3'!$H$12=Data!$J$3,AVERAGEIF(E12:P12,"&lt;&gt;",E12:P12)))),0))</f>
        <v>14523</v>
      </c>
      <c r="R12" s="402">
        <f t="array" ref="R12">IF(B12="","",IFERROR(IF('O3'!$H$12=Data!$J$4,INDEX('KPI3'!E12:P12,COUNT(E12:P12)),IF('O3'!$H$12=Data!$J$2,SUM('KPI3'!E12:P12),IF('O3'!$H$12=Data!$J$3,AVERAGEIF(E12:P12,"&lt;&gt;",E12:P12)))),0))</f>
        <v>14523</v>
      </c>
      <c r="T12" s="93" t="str">
        <f>'O3'!G12</f>
        <v>↑</v>
      </c>
      <c r="U12" s="93"/>
    </row>
    <row r="13" spans="1:21" ht="22" customHeight="1">
      <c r="A13" s="288"/>
      <c r="B13" s="499"/>
      <c r="C13" s="500"/>
      <c r="D13" s="401" t="str">
        <f>IF(B12="","",Lan!$F$58)</f>
        <v>Meta</v>
      </c>
      <c r="E13" s="95">
        <v>10000</v>
      </c>
      <c r="F13" s="95">
        <v>10000</v>
      </c>
      <c r="G13" s="95">
        <v>10000</v>
      </c>
      <c r="H13" s="95">
        <v>10000</v>
      </c>
      <c r="I13" s="95">
        <v>10000</v>
      </c>
      <c r="J13" s="95">
        <v>10000</v>
      </c>
      <c r="K13" s="95">
        <v>10000</v>
      </c>
      <c r="L13" s="95">
        <v>10000</v>
      </c>
      <c r="M13" s="95">
        <v>10000</v>
      </c>
      <c r="N13" s="95">
        <v>10000</v>
      </c>
      <c r="O13" s="95">
        <v>10000</v>
      </c>
      <c r="P13" s="95">
        <v>10000</v>
      </c>
      <c r="Q13" s="401">
        <f>IF(B12="","",IFERROR(IF('O3'!$H$12=Data!$J$4,T13,IF('O3'!$H$12=Data!$J$2,SUMIF('KPI3'!E12:P12,"&lt;&gt;",E13:P13),IF('O3'!$H$12=Data!$J$3,AVERAGEIF(E13:P13,"&lt;&gt;",E13:P13)))),0))</f>
        <v>10000</v>
      </c>
      <c r="R13" s="403">
        <f t="array" ref="R13">IF(B12="","",IFERROR(IF('O3'!$H$12=Data!$J$4,INDEX('KPI3'!E13:P13,COUNT(E13:P13)),IF('O3'!$H$12=Data!$J$2,SUM('KPI3'!E13:P13),IF('O3'!$H$12=Data!$J$3,AVERAGE(E13:P13)))),0))</f>
        <v>10000</v>
      </c>
      <c r="T13" s="93">
        <f>IF(P12&lt;&gt;"",P13,IF(O12&lt;&gt;"",O13,IF(N12&lt;&gt;"",N13,IF(M12&lt;&gt;"",M13,IF(L12&lt;&gt;"",L13,IF(K12&lt;&gt;"",K13,IF(J12&lt;&gt;"",J13,IF(I12&lt;&gt;"",I13,IF(H12&lt;&gt;"",H13,IF(G12&lt;&gt;"",G13,IF(F12&lt;&gt;"",F13,IF(E12&lt;&gt;"",E13,0))))))))))))</f>
        <v>10000</v>
      </c>
      <c r="U13" s="93"/>
    </row>
    <row r="14" spans="1:21" s="309" customFormat="1" ht="22" customHeight="1" thickBot="1">
      <c r="B14" s="505"/>
      <c r="C14" s="506"/>
      <c r="D14" s="214" t="str">
        <f>IF(B12="","","%")</f>
        <v>%</v>
      </c>
      <c r="E14" s="215">
        <f t="shared" ref="E14:R14" si="0">IFERROR(IF($B12="","",E12/E13),"")</f>
        <v>1.2</v>
      </c>
      <c r="F14" s="215">
        <f t="shared" si="0"/>
        <v>1.2</v>
      </c>
      <c r="G14" s="215">
        <f t="shared" si="0"/>
        <v>0.89990000000000003</v>
      </c>
      <c r="H14" s="215">
        <f t="shared" si="0"/>
        <v>0.94510000000000005</v>
      </c>
      <c r="I14" s="215">
        <f t="shared" si="0"/>
        <v>1.0451999999999999</v>
      </c>
      <c r="J14" s="215">
        <f t="shared" si="0"/>
        <v>1.0985</v>
      </c>
      <c r="K14" s="215">
        <f t="shared" si="0"/>
        <v>1.1745000000000001</v>
      </c>
      <c r="L14" s="215">
        <f t="shared" si="0"/>
        <v>1.1555</v>
      </c>
      <c r="M14" s="215">
        <f t="shared" si="0"/>
        <v>1.2350000000000001</v>
      </c>
      <c r="N14" s="215">
        <f t="shared" si="0"/>
        <v>1.2854000000000001</v>
      </c>
      <c r="O14" s="215">
        <f t="shared" si="0"/>
        <v>1.4123000000000001</v>
      </c>
      <c r="P14" s="215">
        <f t="shared" si="0"/>
        <v>1.4522999999999999</v>
      </c>
      <c r="Q14" s="215">
        <f t="shared" si="0"/>
        <v>1.4522999999999999</v>
      </c>
      <c r="R14" s="215">
        <f t="shared" si="0"/>
        <v>1.4522999999999999</v>
      </c>
      <c r="T14" s="416"/>
      <c r="U14" s="416"/>
    </row>
    <row r="15" spans="1:21" ht="22" customHeight="1">
      <c r="A15" s="288"/>
      <c r="B15" s="497" t="str">
        <f>IF('O3'!B13="","",'O3'!B13)</f>
        <v>Lograr que 60% de los visitantes recomienden nuestros productos en encuestas de salida para diciembre de 2025.</v>
      </c>
      <c r="C15" s="498"/>
      <c r="D15" s="400" t="str">
        <f>IF(B15="","",Lan!$F$57)</f>
        <v>Actual</v>
      </c>
      <c r="E15" s="94">
        <v>8</v>
      </c>
      <c r="F15" s="94">
        <v>8</v>
      </c>
      <c r="G15" s="94">
        <v>8</v>
      </c>
      <c r="H15" s="94">
        <v>7</v>
      </c>
      <c r="I15" s="94">
        <v>7</v>
      </c>
      <c r="J15" s="94">
        <v>8</v>
      </c>
      <c r="K15" s="94">
        <v>8</v>
      </c>
      <c r="L15" s="94">
        <v>8</v>
      </c>
      <c r="M15" s="94">
        <v>8</v>
      </c>
      <c r="N15" s="94">
        <v>8</v>
      </c>
      <c r="O15" s="94">
        <v>8</v>
      </c>
      <c r="P15" s="94">
        <v>8</v>
      </c>
      <c r="Q15" s="402">
        <f t="array" ref="Q15">IF(B15="","",IFERROR(IF('O3'!$H$13=Data!$J$4,INDEX('KPI3'!E15:P15,COUNT(E15:P15)),IF('O3'!$H$13=Data!$J$2,SUM('KPI3'!E15:P15),IF('O3'!$H$13=Data!$J$3,AVERAGEIF(E15:P15,"&lt;&gt;",E15:P15)))),0))</f>
        <v>7.833333333333333</v>
      </c>
      <c r="R15" s="402">
        <f t="array" ref="R15">IF(B15="","",IFERROR(IF('O3'!$H$13=Data!$J$4,INDEX('KPI3'!E15:P15,COUNT(E15:P15)),IF('O3'!$H$13=Data!$J$2,SUM('KPI3'!E15:P15),IF('O3'!$H$13=Data!$J$3,AVERAGEIF(E15:P15,"&lt;&gt;",E15:P15)))),0))</f>
        <v>7.833333333333333</v>
      </c>
      <c r="T15" s="93" t="str">
        <f>'O3'!G13</f>
        <v>↑</v>
      </c>
      <c r="U15" s="93"/>
    </row>
    <row r="16" spans="1:21" ht="22" customHeight="1">
      <c r="A16" s="288"/>
      <c r="B16" s="499"/>
      <c r="C16" s="500"/>
      <c r="D16" s="401" t="str">
        <f>IF(B15="","",Lan!$F$58)</f>
        <v>Meta</v>
      </c>
      <c r="E16" s="95">
        <v>8</v>
      </c>
      <c r="F16" s="95">
        <v>8</v>
      </c>
      <c r="G16" s="95">
        <v>8</v>
      </c>
      <c r="H16" s="95">
        <v>8</v>
      </c>
      <c r="I16" s="95">
        <v>8</v>
      </c>
      <c r="J16" s="95">
        <v>8</v>
      </c>
      <c r="K16" s="95">
        <v>8</v>
      </c>
      <c r="L16" s="95">
        <v>8</v>
      </c>
      <c r="M16" s="95">
        <v>8</v>
      </c>
      <c r="N16" s="95">
        <v>8</v>
      </c>
      <c r="O16" s="95">
        <v>8</v>
      </c>
      <c r="P16" s="95">
        <v>8</v>
      </c>
      <c r="Q16" s="401">
        <f>IF(B15="","",IFERROR(IF('O3'!$H$13=Data!$J$4,T16,IF('O3'!$H$13=Data!$J$2,SUMIF('KPI3'!E15:P15,"&lt;&gt;",E16:P16),IF('O3'!$H$13=Data!$J$3,AVERAGEIF(E16:P16,"&lt;&gt;",E16:P16)))),0))</f>
        <v>8</v>
      </c>
      <c r="R16" s="403">
        <f t="array" ref="R16">IF(B15="","",IFERROR(IF('O3'!$H$13=Data!$J$4,INDEX('KPI3'!E16:P16,COUNT(E16:P16)),IF('O3'!$H$13=Data!$J$2,SUM('KPI3'!E16:P16),IF('O3'!$H$13=Data!$J$3,AVERAGE(E16:P16)))),0))</f>
        <v>8</v>
      </c>
      <c r="T16" s="93">
        <f>IF(P15&lt;&gt;"",P16,IF(O15&lt;&gt;"",O16,IF(N15&lt;&gt;"",N16,IF(M15&lt;&gt;"",M16,IF(L15&lt;&gt;"",L16,IF(K15&lt;&gt;"",K16,IF(J15&lt;&gt;"",J16,IF(I15&lt;&gt;"",I16,IF(H15&lt;&gt;"",H16,IF(G15&lt;&gt;"",G16,IF(F15&lt;&gt;"",F16,IF(E15&lt;&gt;"",E16,0))))))))))))</f>
        <v>8</v>
      </c>
      <c r="U16" s="93"/>
    </row>
    <row r="17" spans="1:21" s="309" customFormat="1" ht="22" customHeight="1" thickBot="1">
      <c r="B17" s="505"/>
      <c r="C17" s="506"/>
      <c r="D17" s="214" t="str">
        <f>IF(B15="","","%")</f>
        <v>%</v>
      </c>
      <c r="E17" s="215">
        <f t="shared" ref="E17:R17" si="1">IFERROR(IF($B15="","",E15/E16),"")</f>
        <v>1</v>
      </c>
      <c r="F17" s="215">
        <f t="shared" si="1"/>
        <v>1</v>
      </c>
      <c r="G17" s="215">
        <f t="shared" si="1"/>
        <v>1</v>
      </c>
      <c r="H17" s="215">
        <f t="shared" si="1"/>
        <v>0.875</v>
      </c>
      <c r="I17" s="215">
        <f t="shared" si="1"/>
        <v>0.875</v>
      </c>
      <c r="J17" s="215">
        <f t="shared" si="1"/>
        <v>1</v>
      </c>
      <c r="K17" s="215">
        <f t="shared" si="1"/>
        <v>1</v>
      </c>
      <c r="L17" s="215">
        <f t="shared" si="1"/>
        <v>1</v>
      </c>
      <c r="M17" s="215">
        <f t="shared" si="1"/>
        <v>1</v>
      </c>
      <c r="N17" s="215">
        <f t="shared" si="1"/>
        <v>1</v>
      </c>
      <c r="O17" s="215">
        <f t="shared" si="1"/>
        <v>1</v>
      </c>
      <c r="P17" s="215">
        <f t="shared" si="1"/>
        <v>1</v>
      </c>
      <c r="Q17" s="215">
        <f t="shared" si="1"/>
        <v>0.97916666666666663</v>
      </c>
      <c r="R17" s="215">
        <f t="shared" si="1"/>
        <v>0.97916666666666663</v>
      </c>
      <c r="T17" s="416"/>
      <c r="U17" s="416"/>
    </row>
    <row r="18" spans="1:21" ht="22" customHeight="1">
      <c r="A18" s="288"/>
      <c r="B18" s="497" t="str">
        <f>IF('O3'!B14="","",'O3'!B14)</f>
        <v/>
      </c>
      <c r="C18" s="498"/>
      <c r="D18" s="400" t="str">
        <f>IF(B18="","",Lan!$F$57)</f>
        <v/>
      </c>
      <c r="E18" s="94"/>
      <c r="F18" s="94"/>
      <c r="G18" s="94"/>
      <c r="H18" s="94"/>
      <c r="I18" s="94"/>
      <c r="J18" s="94"/>
      <c r="K18" s="94"/>
      <c r="L18" s="94"/>
      <c r="M18" s="94"/>
      <c r="N18" s="94"/>
      <c r="O18" s="94"/>
      <c r="P18" s="94"/>
      <c r="Q18" s="402" t="str">
        <f t="array" ref="Q18">IF(B18="","",IFERROR(IF('O3'!$H$14=Data!$J$4,INDEX('KPI3'!E18:P18,COUNT(E18:P18)),IF('O3'!$H$14=Data!$J$2,SUM('KPI3'!E18:P18),IF('O3'!$H$14=Data!$J$3,AVERAGEIF(E18:P18,"&lt;&gt;",E18:P18)))),0))</f>
        <v/>
      </c>
      <c r="R18" s="402" t="str">
        <f t="array" ref="R18">IF(B18="","",IFERROR(IF('O3'!$H$14=Data!$J$4,INDEX('KPI3'!E18:P18,COUNT(E18:P18)),IF('O3'!$H$14=Data!$J$2,SUM('KPI3'!E18:P18),IF('O3'!$H$14=Data!$J$3,AVERAGEIF(E18:P18,"&lt;&gt;",E18:P18)))),0))</f>
        <v/>
      </c>
      <c r="T18" s="93">
        <f>'O3'!G14</f>
        <v>0</v>
      </c>
      <c r="U18" s="93"/>
    </row>
    <row r="19" spans="1:21" ht="22" customHeight="1">
      <c r="A19" s="288"/>
      <c r="B19" s="499"/>
      <c r="C19" s="500"/>
      <c r="D19" s="401" t="str">
        <f>IF(B18="","",Lan!$F$58)</f>
        <v/>
      </c>
      <c r="E19" s="95"/>
      <c r="F19" s="95"/>
      <c r="G19" s="95"/>
      <c r="H19" s="95"/>
      <c r="I19" s="95"/>
      <c r="J19" s="95"/>
      <c r="K19" s="95"/>
      <c r="L19" s="95"/>
      <c r="M19" s="95"/>
      <c r="N19" s="95"/>
      <c r="O19" s="95"/>
      <c r="P19" s="95"/>
      <c r="Q19" s="401" t="str">
        <f>IF(B18="","",IFERROR(IF('O3'!$H$14=Data!$J$4,T19,IF('O3'!$H$14=Data!$J$2,SUMIF('KPI3'!E18:P18,"&lt;&gt;",E19:P19),IF('O3'!$H$14=Data!$J$3,AVERAGEIF(E19:P19,"&lt;&gt;",E19:P19)))),0))</f>
        <v/>
      </c>
      <c r="R19" s="403" t="str">
        <f t="array" ref="R19">IF(B18="","",IFERROR(IF('O3'!$H$14=Data!$J$4,INDEX('KPI3'!E19:P19,COUNT(E19:P19)),IF('O3'!$H$14=Data!$J$2,SUM('KPI3'!E19:P19),IF('O3'!$H$14=Data!$J$3,AVERAGE(E19:P19)))),0))</f>
        <v/>
      </c>
      <c r="T19" s="93">
        <f>IF(P18&lt;&gt;"",P19,IF(O18&lt;&gt;"",O19,IF(N18&lt;&gt;"",N19,IF(M18&lt;&gt;"",M19,IF(L18&lt;&gt;"",L19,IF(K18&lt;&gt;"",K19,IF(J18&lt;&gt;"",J19,IF(I18&lt;&gt;"",I19,IF(H18&lt;&gt;"",H19,IF(G18&lt;&gt;"",G19,IF(F18&lt;&gt;"",F19,IF(E18&lt;&gt;"",E19,0))))))))))))</f>
        <v>0</v>
      </c>
      <c r="U19" s="93"/>
    </row>
    <row r="20" spans="1:21" s="309" customFormat="1" ht="22" customHeight="1" thickBot="1">
      <c r="B20" s="505"/>
      <c r="C20" s="506"/>
      <c r="D20" s="214" t="str">
        <f>IF(B18="","","%")</f>
        <v/>
      </c>
      <c r="E20" s="215" t="str">
        <f t="shared" ref="E20:R20" si="2">IFERROR(IF($B18="","",E18/E19),"")</f>
        <v/>
      </c>
      <c r="F20" s="215" t="str">
        <f t="shared" si="2"/>
        <v/>
      </c>
      <c r="G20" s="215" t="str">
        <f t="shared" si="2"/>
        <v/>
      </c>
      <c r="H20" s="215" t="str">
        <f t="shared" si="2"/>
        <v/>
      </c>
      <c r="I20" s="215" t="str">
        <f t="shared" si="2"/>
        <v/>
      </c>
      <c r="J20" s="215" t="str">
        <f t="shared" si="2"/>
        <v/>
      </c>
      <c r="K20" s="215" t="str">
        <f t="shared" si="2"/>
        <v/>
      </c>
      <c r="L20" s="215" t="str">
        <f t="shared" si="2"/>
        <v/>
      </c>
      <c r="M20" s="215" t="str">
        <f t="shared" si="2"/>
        <v/>
      </c>
      <c r="N20" s="215" t="str">
        <f t="shared" si="2"/>
        <v/>
      </c>
      <c r="O20" s="215" t="str">
        <f t="shared" si="2"/>
        <v/>
      </c>
      <c r="P20" s="215" t="str">
        <f t="shared" si="2"/>
        <v/>
      </c>
      <c r="Q20" s="215" t="str">
        <f t="shared" si="2"/>
        <v/>
      </c>
      <c r="R20" s="215" t="str">
        <f t="shared" si="2"/>
        <v/>
      </c>
      <c r="T20" s="416"/>
      <c r="U20" s="416"/>
    </row>
    <row r="21" spans="1:21" ht="22" customHeight="1">
      <c r="A21" s="288"/>
      <c r="B21" s="497" t="str">
        <f>IF('O3'!B15="","",'O3'!B15)</f>
        <v/>
      </c>
      <c r="C21" s="498"/>
      <c r="D21" s="400" t="str">
        <f>IF(B21="","",Lan!$F$57)</f>
        <v/>
      </c>
      <c r="E21" s="94"/>
      <c r="F21" s="94"/>
      <c r="G21" s="94"/>
      <c r="H21" s="94"/>
      <c r="I21" s="94"/>
      <c r="J21" s="94"/>
      <c r="K21" s="94"/>
      <c r="L21" s="94"/>
      <c r="M21" s="94"/>
      <c r="N21" s="94"/>
      <c r="O21" s="94"/>
      <c r="P21" s="94"/>
      <c r="Q21" s="402" t="str">
        <f t="array" ref="Q21">IF(B21="","",IFERROR(IF('O3'!$H$15=Data!$J$4,INDEX('KPI3'!E21:P21,COUNT(E21:P21)),IF('O3'!$H$15=Data!$J$2,SUM('KPI3'!E21:P21),IF('O3'!$H$15=Data!$J$3,AVERAGEIF(E21:P21,"&lt;&gt;",E21:P21)))),0))</f>
        <v/>
      </c>
      <c r="R21" s="402" t="str">
        <f t="array" ref="R21">IF(B21="","",IFERROR(IF('O3'!$H$15=Data!$J$4,INDEX('KPI3'!E21:P21,COUNT(E21:P21)),IF('O3'!$H$15=Data!$J$2,SUM('KPI3'!E21:P21),IF('O3'!$H$15=Data!$J$3,AVERAGEIF(E21:P21,"&lt;&gt;",E21:P21)))),0))</f>
        <v/>
      </c>
      <c r="T21" s="93">
        <f>'O3'!G15</f>
        <v>0</v>
      </c>
      <c r="U21" s="93"/>
    </row>
    <row r="22" spans="1:21" ht="22" customHeight="1">
      <c r="A22" s="288"/>
      <c r="B22" s="499"/>
      <c r="C22" s="500"/>
      <c r="D22" s="401" t="str">
        <f>IF(B21="","",Lan!$F$58)</f>
        <v/>
      </c>
      <c r="E22" s="95"/>
      <c r="F22" s="95"/>
      <c r="G22" s="95"/>
      <c r="H22" s="95"/>
      <c r="I22" s="95"/>
      <c r="J22" s="95"/>
      <c r="K22" s="95"/>
      <c r="L22" s="95"/>
      <c r="M22" s="95"/>
      <c r="N22" s="95"/>
      <c r="O22" s="95"/>
      <c r="P22" s="95"/>
      <c r="Q22" s="401" t="str">
        <f>IF(B21="","",IFERROR(IF('O3'!$H$15=Data!$J$4,T22,IF('O3'!$H$15=Data!$J$2,SUMIF('KPI3'!E21:P21,"&lt;&gt;",E22:P22),IF('O3'!$H$15=Data!$J$3,AVERAGEIF(E22:P22,"&lt;&gt;",E22:P22)))),0))</f>
        <v/>
      </c>
      <c r="R22" s="403" t="str">
        <f t="array" ref="R22">IF(B21="","",IFERROR(IF('O3'!$H$15=Data!$J$4,INDEX('KPI3'!E22:P22,COUNT(E22:P22)),IF('O3'!$H$15=Data!$J$2,SUM('KPI3'!E22:P22),IF('O3'!$H$15=Data!$J$3,AVERAGE(E22:P22)))),0))</f>
        <v/>
      </c>
      <c r="T22" s="93">
        <f>IF(P21&lt;&gt;"",P22,IF(O21&lt;&gt;"",O22,IF(N21&lt;&gt;"",N22,IF(M21&lt;&gt;"",M22,IF(L21&lt;&gt;"",L22,IF(K21&lt;&gt;"",K22,IF(J21&lt;&gt;"",J22,IF(I21&lt;&gt;"",I22,IF(H21&lt;&gt;"",H22,IF(G21&lt;&gt;"",G22,IF(F21&lt;&gt;"",F22,IF(E21&lt;&gt;"",E22,0))))))))))))</f>
        <v>0</v>
      </c>
      <c r="U22" s="93"/>
    </row>
    <row r="23" spans="1:21" s="309" customFormat="1" ht="22" customHeight="1" thickBot="1">
      <c r="B23" s="501"/>
      <c r="C23" s="502"/>
      <c r="D23" s="216" t="str">
        <f>IF(B21="","","%")</f>
        <v/>
      </c>
      <c r="E23" s="215" t="str">
        <f t="shared" ref="E23:R23" si="3">IFERROR(IF($B21="","",E21/E22),"")</f>
        <v/>
      </c>
      <c r="F23" s="215" t="str">
        <f t="shared" si="3"/>
        <v/>
      </c>
      <c r="G23" s="215" t="str">
        <f t="shared" si="3"/>
        <v/>
      </c>
      <c r="H23" s="215" t="str">
        <f t="shared" si="3"/>
        <v/>
      </c>
      <c r="I23" s="215" t="str">
        <f t="shared" si="3"/>
        <v/>
      </c>
      <c r="J23" s="215" t="str">
        <f t="shared" si="3"/>
        <v/>
      </c>
      <c r="K23" s="215" t="str">
        <f t="shared" si="3"/>
        <v/>
      </c>
      <c r="L23" s="215" t="str">
        <f t="shared" si="3"/>
        <v/>
      </c>
      <c r="M23" s="215" t="str">
        <f t="shared" si="3"/>
        <v/>
      </c>
      <c r="N23" s="215" t="str">
        <f t="shared" si="3"/>
        <v/>
      </c>
      <c r="O23" s="215" t="str">
        <f t="shared" si="3"/>
        <v/>
      </c>
      <c r="P23" s="215" t="str">
        <f t="shared" si="3"/>
        <v/>
      </c>
      <c r="Q23" s="215" t="str">
        <f t="shared" si="3"/>
        <v/>
      </c>
      <c r="R23" s="215" t="str">
        <f t="shared" si="3"/>
        <v/>
      </c>
      <c r="T23" s="416"/>
      <c r="U23" s="416"/>
    </row>
    <row r="24" spans="1:21" ht="22" customHeight="1">
      <c r="A24" s="288"/>
      <c r="B24" s="497" t="str">
        <f>IF('O3'!B16="","",'O3'!B16)</f>
        <v/>
      </c>
      <c r="C24" s="498"/>
      <c r="D24" s="400" t="str">
        <f>IF(B24="","",Lan!$F$57)</f>
        <v/>
      </c>
      <c r="E24" s="94"/>
      <c r="F24" s="94"/>
      <c r="G24" s="94"/>
      <c r="H24" s="94"/>
      <c r="I24" s="94"/>
      <c r="J24" s="94"/>
      <c r="K24" s="94"/>
      <c r="L24" s="94"/>
      <c r="M24" s="94"/>
      <c r="N24" s="94"/>
      <c r="O24" s="94"/>
      <c r="P24" s="94"/>
      <c r="Q24" s="402" t="str">
        <f t="array" ref="Q24">IF(B24="","",IFERROR(IF('O3'!$H$16=Data!$J$4,INDEX('KPI3'!E24:P24,COUNT(E24:P24)),IF('O3'!$H$16=Data!$J$2,SUM('KPI3'!E24:P24),IF('O3'!$H$16=Data!$J$3,AVERAGEIF(E24:P24,"&lt;&gt;",E24:P24)))),0))</f>
        <v/>
      </c>
      <c r="R24" s="402" t="str">
        <f t="array" ref="R24">IF(B24="","",IFERROR(IF('O3'!$H$16=Data!$J$4,INDEX('KPI3'!E24:P24,COUNT(E24:P24)),IF('O3'!$H$16=Data!$J$2,SUM('KPI3'!E24:P24),IF('O3'!$H$16=Data!$J$3,AVERAGEIF(E24:P24,"&lt;&gt;",E24:P24)))),0))</f>
        <v/>
      </c>
      <c r="T24" s="93">
        <f>'O3'!G16</f>
        <v>0</v>
      </c>
      <c r="U24" s="93"/>
    </row>
    <row r="25" spans="1:21" ht="22" customHeight="1">
      <c r="A25" s="288"/>
      <c r="B25" s="499"/>
      <c r="C25" s="500"/>
      <c r="D25" s="401" t="str">
        <f>IF(B24="","",Lan!$F$58)</f>
        <v/>
      </c>
      <c r="E25" s="95"/>
      <c r="F25" s="95"/>
      <c r="G25" s="95"/>
      <c r="H25" s="95"/>
      <c r="I25" s="95"/>
      <c r="J25" s="95"/>
      <c r="K25" s="95"/>
      <c r="L25" s="95"/>
      <c r="M25" s="95"/>
      <c r="N25" s="95"/>
      <c r="O25" s="95"/>
      <c r="P25" s="95"/>
      <c r="Q25" s="401" t="str">
        <f>IF(B24="","",IFERROR(IF('O3'!$H$16=Data!$J$4,T25,IF('O3'!$H$16=Data!$J$2,SUMIF('KPI3'!E24:P24,"&lt;&gt;",E25:P25),IF('O3'!$H$16=Data!$J$3,AVERAGEIF(E25:P25,"&lt;&gt;",E25:P25)))),0))</f>
        <v/>
      </c>
      <c r="R25" s="403" t="str">
        <f t="array" ref="R25">IF(B24="","",IFERROR(IF('O3'!$H$16=Data!$J$4,INDEX('KPI3'!E25:P25,COUNT(E25:P25)),IF('O3'!$H$16=Data!$J$2,SUM('KPI3'!E25:P25),IF('O3'!$H$16=Data!$J$3,AVERAGE(E25:P25)))),0))</f>
        <v/>
      </c>
      <c r="T25" s="93">
        <f>IF(P24&lt;&gt;"",P25,IF(O24&lt;&gt;"",O25,IF(N24&lt;&gt;"",N25,IF(M24&lt;&gt;"",M25,IF(L24&lt;&gt;"",L25,IF(K24&lt;&gt;"",K25,IF(J24&lt;&gt;"",J25,IF(I24&lt;&gt;"",I25,IF(H24&lt;&gt;"",H25,IF(G24&lt;&gt;"",G25,IF(F24&lt;&gt;"",F25,IF(E24&lt;&gt;"",E25,0))))))))))))</f>
        <v>0</v>
      </c>
      <c r="U25" s="93"/>
    </row>
    <row r="26" spans="1:21" s="309" customFormat="1" ht="22" customHeight="1" thickBot="1">
      <c r="B26" s="501"/>
      <c r="C26" s="502"/>
      <c r="D26" s="216" t="str">
        <f>IF(B24="","","%")</f>
        <v/>
      </c>
      <c r="E26" s="215" t="str">
        <f t="shared" ref="E26:R26" si="4">IFERROR(IF($B24="","",E24/E25),"")</f>
        <v/>
      </c>
      <c r="F26" s="215" t="str">
        <f t="shared" si="4"/>
        <v/>
      </c>
      <c r="G26" s="215" t="str">
        <f t="shared" si="4"/>
        <v/>
      </c>
      <c r="H26" s="215" t="str">
        <f t="shared" si="4"/>
        <v/>
      </c>
      <c r="I26" s="215" t="str">
        <f t="shared" si="4"/>
        <v/>
      </c>
      <c r="J26" s="215" t="str">
        <f t="shared" si="4"/>
        <v/>
      </c>
      <c r="K26" s="215" t="str">
        <f t="shared" si="4"/>
        <v/>
      </c>
      <c r="L26" s="215" t="str">
        <f t="shared" si="4"/>
        <v/>
      </c>
      <c r="M26" s="215" t="str">
        <f t="shared" si="4"/>
        <v/>
      </c>
      <c r="N26" s="215" t="str">
        <f t="shared" si="4"/>
        <v/>
      </c>
      <c r="O26" s="215" t="str">
        <f t="shared" si="4"/>
        <v/>
      </c>
      <c r="P26" s="215" t="str">
        <f t="shared" si="4"/>
        <v/>
      </c>
      <c r="Q26" s="215" t="str">
        <f t="shared" si="4"/>
        <v/>
      </c>
      <c r="R26" s="215" t="str">
        <f t="shared" si="4"/>
        <v/>
      </c>
      <c r="T26" s="416"/>
      <c r="U26" s="416"/>
    </row>
    <row r="27" spans="1:21" ht="22" customHeight="1">
      <c r="A27" s="288"/>
      <c r="B27" s="497" t="str">
        <f>IF('O3'!B17="","",'O3'!B17)</f>
        <v/>
      </c>
      <c r="C27" s="498"/>
      <c r="D27" s="400" t="str">
        <f>IF(B27="","",Lan!$F$57)</f>
        <v/>
      </c>
      <c r="E27" s="94"/>
      <c r="F27" s="94"/>
      <c r="G27" s="94"/>
      <c r="H27" s="94"/>
      <c r="I27" s="94"/>
      <c r="J27" s="94"/>
      <c r="K27" s="94"/>
      <c r="L27" s="94"/>
      <c r="M27" s="94"/>
      <c r="N27" s="94"/>
      <c r="O27" s="94"/>
      <c r="P27" s="94"/>
      <c r="Q27" s="402" t="str">
        <f t="array" ref="Q27">IF(B27="","",IFERROR(IF('O3'!$H$17=Data!$J$4,INDEX('KPI3'!E27:P27,COUNT(E27:P27)),IF('O3'!$H$17=Data!$J$2,SUM('KPI3'!E27:P27),IF('O3'!$H$17=Data!$J$3,AVERAGEIF(E27:P27,"&lt;&gt;",E27:P27)))),0))</f>
        <v/>
      </c>
      <c r="R27" s="402" t="str">
        <f t="array" ref="R27">IF(B27="","",IFERROR(IF('O3'!$H$17=Data!$J$4,INDEX('KPI3'!E27:P27,COUNT(E27:P27)),IF('O3'!$H$17=Data!$J$2,SUM('KPI3'!E27:P27),IF('O3'!$H$17=Data!$J$3,AVERAGEIF(E27:P27,"&lt;&gt;",E27:P27)))),0))</f>
        <v/>
      </c>
      <c r="T27" s="93">
        <f>'O3'!G17</f>
        <v>0</v>
      </c>
      <c r="U27" s="93"/>
    </row>
    <row r="28" spans="1:21" ht="22" customHeight="1">
      <c r="A28" s="288"/>
      <c r="B28" s="499"/>
      <c r="C28" s="500"/>
      <c r="D28" s="401" t="str">
        <f>IF(B27="","",Lan!$F$58)</f>
        <v/>
      </c>
      <c r="E28" s="95"/>
      <c r="F28" s="95"/>
      <c r="G28" s="95"/>
      <c r="H28" s="95"/>
      <c r="I28" s="95"/>
      <c r="J28" s="95"/>
      <c r="K28" s="95"/>
      <c r="L28" s="95"/>
      <c r="M28" s="95"/>
      <c r="N28" s="95"/>
      <c r="O28" s="95"/>
      <c r="P28" s="95"/>
      <c r="Q28" s="401" t="str">
        <f>IF(B27="","",IFERROR(IF('O3'!$H$17=Data!$J$4,T28,IF('O3'!$H$17=Data!$J$2,SUMIF('KPI3'!E27:P27,"&lt;&gt;",E28:P28),IF('O3'!$H$17=Data!$J$3,AVERAGEIF(E28:P28,"&lt;&gt;",E28:P28)))),0))</f>
        <v/>
      </c>
      <c r="R28" s="403" t="str">
        <f t="array" ref="R28">IF(B27="","",IFERROR(IF('O3'!$H$17=Data!$J$4,INDEX('KPI3'!E28:P28,COUNT(E28:P28)),IF('O3'!$H$17=Data!$J$2,SUM('KPI3'!E28:P28),IF('O3'!$H$17=Data!$J$3,AVERAGE(E28:P28)))),0))</f>
        <v/>
      </c>
      <c r="T28" s="93">
        <f>IF(P27&lt;&gt;"",P28,IF(O27&lt;&gt;"",O28,IF(N27&lt;&gt;"",N28,IF(M27&lt;&gt;"",M28,IF(L27&lt;&gt;"",L28,IF(K27&lt;&gt;"",K28,IF(J27&lt;&gt;"",J28,IF(I27&lt;&gt;"",I28,IF(H27&lt;&gt;"",H28,IF(G27&lt;&gt;"",G28,IF(F27&lt;&gt;"",F28,IF(E27&lt;&gt;"",E28,0))))))))))))</f>
        <v>0</v>
      </c>
      <c r="U28" s="93"/>
    </row>
    <row r="29" spans="1:21" s="309" customFormat="1" ht="22" customHeight="1" thickBot="1">
      <c r="B29" s="501"/>
      <c r="C29" s="502"/>
      <c r="D29" s="216" t="str">
        <f>IF(B27="","","%")</f>
        <v/>
      </c>
      <c r="E29" s="215" t="str">
        <f t="shared" ref="E29:R29" si="5">IFERROR(IF($B27="","",E27/E28),"")</f>
        <v/>
      </c>
      <c r="F29" s="215" t="str">
        <f t="shared" si="5"/>
        <v/>
      </c>
      <c r="G29" s="215" t="str">
        <f t="shared" si="5"/>
        <v/>
      </c>
      <c r="H29" s="215" t="str">
        <f t="shared" si="5"/>
        <v/>
      </c>
      <c r="I29" s="215" t="str">
        <f t="shared" si="5"/>
        <v/>
      </c>
      <c r="J29" s="215" t="str">
        <f t="shared" si="5"/>
        <v/>
      </c>
      <c r="K29" s="215" t="str">
        <f t="shared" si="5"/>
        <v/>
      </c>
      <c r="L29" s="215" t="str">
        <f t="shared" si="5"/>
        <v/>
      </c>
      <c r="M29" s="215" t="str">
        <f t="shared" si="5"/>
        <v/>
      </c>
      <c r="N29" s="215" t="str">
        <f t="shared" si="5"/>
        <v/>
      </c>
      <c r="O29" s="215" t="str">
        <f t="shared" si="5"/>
        <v/>
      </c>
      <c r="P29" s="215" t="str">
        <f t="shared" si="5"/>
        <v/>
      </c>
      <c r="Q29" s="215" t="str">
        <f t="shared" si="5"/>
        <v/>
      </c>
      <c r="R29" s="215" t="str">
        <f t="shared" si="5"/>
        <v/>
      </c>
      <c r="T29" s="416"/>
      <c r="U29" s="416"/>
    </row>
    <row r="30" spans="1:21" ht="22" customHeight="1">
      <c r="A30" s="288"/>
      <c r="B30" s="497" t="str">
        <f>IF('O3'!B18="","",'O3'!B18)</f>
        <v/>
      </c>
      <c r="C30" s="498"/>
      <c r="D30" s="400" t="str">
        <f>IF(B30="","",Lan!$F$57)</f>
        <v/>
      </c>
      <c r="E30" s="94"/>
      <c r="F30" s="94"/>
      <c r="G30" s="94"/>
      <c r="H30" s="94"/>
      <c r="I30" s="94"/>
      <c r="J30" s="94"/>
      <c r="K30" s="94"/>
      <c r="L30" s="94"/>
      <c r="M30" s="94"/>
      <c r="N30" s="94"/>
      <c r="O30" s="94"/>
      <c r="P30" s="94"/>
      <c r="Q30" s="402" t="str">
        <f t="array" ref="Q30">IF(B30="","",IFERROR(IF('O3'!$H$18=Data!$J$4,INDEX('KPI3'!E30:P30,COUNT(E30:P30)),IF('O3'!$H$18=Data!$J$2,SUM('KPI3'!E30:P30),IF('O3'!$H$18=Data!$J$3,AVERAGEIF(E30:P30,"&lt;&gt;",E30:P30)))),0))</f>
        <v/>
      </c>
      <c r="R30" s="402" t="str">
        <f t="array" ref="R30">IF(B30="","",IFERROR(IF('O3'!$H$18=Data!$J$4,INDEX('KPI3'!E30:P30,COUNT(E30:P30)),IF('O3'!$H$18=Data!$J$2,SUM('KPI3'!E30:P30),IF('O3'!$H$18=Data!$J$3,AVERAGEIF(E30:P30,"&lt;&gt;",E30:P30)))),0))</f>
        <v/>
      </c>
      <c r="T30" s="93">
        <f>'O3'!G18</f>
        <v>0</v>
      </c>
      <c r="U30" s="93"/>
    </row>
    <row r="31" spans="1:21" ht="22" customHeight="1">
      <c r="A31" s="288"/>
      <c r="B31" s="499"/>
      <c r="C31" s="500"/>
      <c r="D31" s="401" t="str">
        <f>IF(B30="","",Lan!$F$58)</f>
        <v/>
      </c>
      <c r="E31" s="95"/>
      <c r="F31" s="95"/>
      <c r="G31" s="95"/>
      <c r="H31" s="95"/>
      <c r="I31" s="95"/>
      <c r="J31" s="95"/>
      <c r="K31" s="95"/>
      <c r="L31" s="95"/>
      <c r="M31" s="95"/>
      <c r="N31" s="95"/>
      <c r="O31" s="95"/>
      <c r="P31" s="95"/>
      <c r="Q31" s="401" t="str">
        <f>IF(B30="","",IFERROR(IF('O3'!$H$18=Data!$J$4,T31,IF('O3'!$H$18=Data!$J$2,SUMIF('KPI3'!E30:P30,"&lt;&gt;",E31:P31),IF('O3'!$H$18=Data!$J$3,AVERAGEIF(E31:P31,"&lt;&gt;",E31:P31)))),0))</f>
        <v/>
      </c>
      <c r="R31" s="403" t="str">
        <f t="array" ref="R31">IF(B30="","",IFERROR(IF('O3'!$H$18=Data!$J$4,INDEX('KPI3'!E31:P31,COUNT(E31:P31)),IF('O3'!$H$18=Data!$J$2,SUM('KPI3'!E31:P31),IF('O3'!$H$18=Data!$J$3,AVERAGE(E31:P31)))),0))</f>
        <v/>
      </c>
      <c r="T31" s="93">
        <f>IF(P30&lt;&gt;"",P31,IF(O30&lt;&gt;"",O31,IF(N30&lt;&gt;"",N31,IF(M30&lt;&gt;"",M31,IF(L30&lt;&gt;"",L31,IF(K30&lt;&gt;"",K31,IF(J30&lt;&gt;"",J31,IF(I30&lt;&gt;"",I31,IF(H30&lt;&gt;"",H31,IF(G30&lt;&gt;"",G31,IF(F30&lt;&gt;"",F31,IF(E30&lt;&gt;"",E31,0))))))))))))</f>
        <v>0</v>
      </c>
      <c r="U31" s="93"/>
    </row>
    <row r="32" spans="1:21" s="309" customFormat="1" ht="22" customHeight="1" thickBot="1">
      <c r="B32" s="501"/>
      <c r="C32" s="502"/>
      <c r="D32" s="216" t="str">
        <f>IF(B30="","","%")</f>
        <v/>
      </c>
      <c r="E32" s="215" t="str">
        <f t="shared" ref="E32:R32" si="6">IFERROR(IF($B30="","",E30/E31),"")</f>
        <v/>
      </c>
      <c r="F32" s="215" t="str">
        <f t="shared" si="6"/>
        <v/>
      </c>
      <c r="G32" s="215" t="str">
        <f t="shared" si="6"/>
        <v/>
      </c>
      <c r="H32" s="215" t="str">
        <f t="shared" si="6"/>
        <v/>
      </c>
      <c r="I32" s="215" t="str">
        <f t="shared" si="6"/>
        <v/>
      </c>
      <c r="J32" s="215" t="str">
        <f t="shared" si="6"/>
        <v/>
      </c>
      <c r="K32" s="215" t="str">
        <f t="shared" si="6"/>
        <v/>
      </c>
      <c r="L32" s="215" t="str">
        <f t="shared" si="6"/>
        <v/>
      </c>
      <c r="M32" s="215" t="str">
        <f t="shared" si="6"/>
        <v/>
      </c>
      <c r="N32" s="215" t="str">
        <f t="shared" si="6"/>
        <v/>
      </c>
      <c r="O32" s="215" t="str">
        <f t="shared" si="6"/>
        <v/>
      </c>
      <c r="P32" s="215" t="str">
        <f t="shared" si="6"/>
        <v/>
      </c>
      <c r="Q32" s="215" t="str">
        <f t="shared" si="6"/>
        <v/>
      </c>
      <c r="R32" s="215" t="str">
        <f t="shared" si="6"/>
        <v/>
      </c>
      <c r="T32" s="416"/>
      <c r="U32" s="416"/>
    </row>
    <row r="33" spans="1:21" ht="22" customHeight="1">
      <c r="A33" s="288"/>
      <c r="B33" s="497" t="str">
        <f>IF('O3'!B19="","",'O3'!B19)</f>
        <v/>
      </c>
      <c r="C33" s="498"/>
      <c r="D33" s="400" t="str">
        <f>IF(B33="","",Lan!$F$57)</f>
        <v/>
      </c>
      <c r="E33" s="94"/>
      <c r="F33" s="94"/>
      <c r="G33" s="94"/>
      <c r="H33" s="94"/>
      <c r="I33" s="94"/>
      <c r="J33" s="94"/>
      <c r="K33" s="94"/>
      <c r="L33" s="94"/>
      <c r="M33" s="94"/>
      <c r="N33" s="94"/>
      <c r="O33" s="94"/>
      <c r="P33" s="94"/>
      <c r="Q33" s="402" t="str">
        <f t="array" ref="Q33">IF(B33="","",IFERROR(IF('O3'!$H$19=Data!$J$4,INDEX('KPI3'!E33:P33,COUNT(E33:P33)),IF('O3'!$H$19=Data!$J$2,SUM('KPI3'!E33:P33),IF('O3'!$H$19=Data!$J$3,AVERAGEIF(E33:P33,"&lt;&gt;",E33:P33)))),0))</f>
        <v/>
      </c>
      <c r="R33" s="402" t="str">
        <f t="array" ref="R33">IF(B33="","",IFERROR(IF('O3'!$H$19=Data!$J$4,INDEX('KPI3'!E33:P33,COUNT(E33:P33)),IF('O3'!$H$19=Data!$J$2,SUM('KPI3'!E33:P33),IF('O3'!$H$19=Data!$J$3,AVERAGEIF(E33:P33,"&lt;&gt;",E33:P33)))),0))</f>
        <v/>
      </c>
      <c r="T33" s="93">
        <f>'O3'!G19</f>
        <v>0</v>
      </c>
      <c r="U33" s="93"/>
    </row>
    <row r="34" spans="1:21" ht="22" customHeight="1">
      <c r="A34" s="288"/>
      <c r="B34" s="499"/>
      <c r="C34" s="500"/>
      <c r="D34" s="401" t="str">
        <f>IF(B33="","",Lan!$F$58)</f>
        <v/>
      </c>
      <c r="E34" s="95"/>
      <c r="F34" s="95"/>
      <c r="G34" s="95"/>
      <c r="H34" s="95"/>
      <c r="I34" s="95"/>
      <c r="J34" s="95"/>
      <c r="K34" s="95"/>
      <c r="L34" s="95"/>
      <c r="M34" s="95"/>
      <c r="N34" s="95"/>
      <c r="O34" s="95"/>
      <c r="P34" s="95"/>
      <c r="Q34" s="401" t="str">
        <f>IF(B33="","",IFERROR(IF('O3'!$H$19=Data!$J$4,T34,IF('O3'!$H$19=Data!$J$2,SUMIF('KPI3'!E33:P33,"&lt;&gt;",E34:P34),IF('O3'!$H$19=Data!$J$3,AVERAGEIF(E34:P34,"&lt;&gt;",E34:P34)))),0))</f>
        <v/>
      </c>
      <c r="R34" s="403" t="str">
        <f t="array" ref="R34">IF(B33="","",IFERROR(IF('O3'!$H$19=Data!$J$4,INDEX('KPI3'!E34:P34,COUNT(E34:P34)),IF('O3'!$H$19=Data!$J$2,SUM('KPI3'!E34:P34),IF('O3'!$H$19=Data!$J$3,AVERAGE(E34:P34)))),0))</f>
        <v/>
      </c>
      <c r="T34" s="93">
        <f>IF(P33&lt;&gt;"",P34,IF(O33&lt;&gt;"",O34,IF(N33&lt;&gt;"",N34,IF(M33&lt;&gt;"",M34,IF(L33&lt;&gt;"",L34,IF(K33&lt;&gt;"",K34,IF(J33&lt;&gt;"",J34,IF(I33&lt;&gt;"",I34,IF(H33&lt;&gt;"",H34,IF(G33&lt;&gt;"",G34,IF(F33&lt;&gt;"",F34,IF(E33&lt;&gt;"",E34,0))))))))))))</f>
        <v>0</v>
      </c>
      <c r="U34" s="93"/>
    </row>
    <row r="35" spans="1:21" s="309" customFormat="1" ht="22" customHeight="1" thickBot="1">
      <c r="B35" s="501"/>
      <c r="C35" s="502"/>
      <c r="D35" s="216" t="str">
        <f>IF(B33="","","%")</f>
        <v/>
      </c>
      <c r="E35" s="215" t="str">
        <f t="shared" ref="E35:R35" si="7">IFERROR(IF($B33="","",E33/E34),"")</f>
        <v/>
      </c>
      <c r="F35" s="215" t="str">
        <f t="shared" si="7"/>
        <v/>
      </c>
      <c r="G35" s="215" t="str">
        <f t="shared" si="7"/>
        <v/>
      </c>
      <c r="H35" s="215" t="str">
        <f t="shared" si="7"/>
        <v/>
      </c>
      <c r="I35" s="215" t="str">
        <f t="shared" si="7"/>
        <v/>
      </c>
      <c r="J35" s="215" t="str">
        <f t="shared" si="7"/>
        <v/>
      </c>
      <c r="K35" s="215" t="str">
        <f t="shared" si="7"/>
        <v/>
      </c>
      <c r="L35" s="215" t="str">
        <f t="shared" si="7"/>
        <v/>
      </c>
      <c r="M35" s="215" t="str">
        <f t="shared" si="7"/>
        <v/>
      </c>
      <c r="N35" s="215" t="str">
        <f t="shared" si="7"/>
        <v/>
      </c>
      <c r="O35" s="215" t="str">
        <f t="shared" si="7"/>
        <v/>
      </c>
      <c r="P35" s="215" t="str">
        <f t="shared" si="7"/>
        <v/>
      </c>
      <c r="Q35" s="215" t="str">
        <f t="shared" si="7"/>
        <v/>
      </c>
      <c r="R35" s="215" t="str">
        <f t="shared" si="7"/>
        <v/>
      </c>
      <c r="T35" s="416"/>
      <c r="U35" s="416"/>
    </row>
    <row r="36" spans="1:21" ht="22" customHeight="1">
      <c r="A36" s="288"/>
      <c r="B36" s="497" t="str">
        <f>IF('O3'!B20="","",'O3'!B20)</f>
        <v/>
      </c>
      <c r="C36" s="498"/>
      <c r="D36" s="400" t="str">
        <f>IF(B36="","",Lan!$F$57)</f>
        <v/>
      </c>
      <c r="E36" s="94"/>
      <c r="F36" s="94"/>
      <c r="G36" s="94"/>
      <c r="H36" s="94"/>
      <c r="I36" s="94"/>
      <c r="J36" s="94"/>
      <c r="K36" s="94"/>
      <c r="L36" s="94"/>
      <c r="M36" s="94"/>
      <c r="N36" s="94"/>
      <c r="O36" s="94"/>
      <c r="P36" s="94"/>
      <c r="Q36" s="402" t="str">
        <f t="array" ref="Q36">IF(B36="","",IFERROR(IF('O3'!$H$20=Data!$J$4,INDEX('KPI3'!E36:P36,COUNT(E36:P36)),IF('O3'!$H$20=Data!$J$2,SUM('KPI3'!E36:P36),IF('O3'!$H$20=Data!$J$3,AVERAGEIF(E36:P36,"&lt;&gt;",E36:P36)))),0))</f>
        <v/>
      </c>
      <c r="R36" s="402" t="str">
        <f t="array" ref="R36">IF(B36="","",IFERROR(IF('O3'!$H$20=Data!$J$4,INDEX('KPI3'!E36:P36,COUNT(E36:P36)),IF('O3'!$H$20=Data!$J$2,SUM('KPI3'!E36:P36),IF('O3'!$H$20=Data!$J$3,AVERAGEIF(E36:P36,"&lt;&gt;",E36:P36)))),0))</f>
        <v/>
      </c>
      <c r="T36" s="93">
        <f>'O3'!G20</f>
        <v>0</v>
      </c>
      <c r="U36" s="93"/>
    </row>
    <row r="37" spans="1:21" ht="22" customHeight="1">
      <c r="A37" s="288"/>
      <c r="B37" s="499"/>
      <c r="C37" s="500"/>
      <c r="D37" s="401" t="str">
        <f>IF(B36="","",Lan!$F$58)</f>
        <v/>
      </c>
      <c r="E37" s="95"/>
      <c r="F37" s="95"/>
      <c r="G37" s="95"/>
      <c r="H37" s="95"/>
      <c r="I37" s="95"/>
      <c r="J37" s="95"/>
      <c r="K37" s="95"/>
      <c r="L37" s="95"/>
      <c r="M37" s="95"/>
      <c r="N37" s="95"/>
      <c r="O37" s="95"/>
      <c r="P37" s="95"/>
      <c r="Q37" s="401" t="str">
        <f>IF(B36="","",IFERROR(IF('O3'!$H$20=Data!$J$4,T37,IF('O3'!$H$20=Data!$J$2,SUMIF('KPI3'!E36:P36,"&lt;&gt;",E37:P37),IF('O3'!$H$20=Data!$J$3,AVERAGEIF(E37:P37,"&lt;&gt;",E37:P37)))),0))</f>
        <v/>
      </c>
      <c r="R37" s="403" t="str">
        <f t="array" ref="R37">IF(B36="","",IFERROR(IF('O3'!$H$20=Data!$J$4,INDEX('KPI3'!E37:P37,COUNT(E37:P37)),IF('O3'!$H$20=Data!$J$2,SUM('KPI3'!E37:P37),IF('O3'!$H$20=Data!$J$3,AVERAGE(E37:P37)))),0))</f>
        <v/>
      </c>
      <c r="T37" s="93">
        <f>IF(P36&lt;&gt;"",P37,IF(O36&lt;&gt;"",O37,IF(N36&lt;&gt;"",N37,IF(M36&lt;&gt;"",M37,IF(L36&lt;&gt;"",L37,IF(K36&lt;&gt;"",K37,IF(J36&lt;&gt;"",J37,IF(I36&lt;&gt;"",I37,IF(H36&lt;&gt;"",H37,IF(G36&lt;&gt;"",G37,IF(F36&lt;&gt;"",F37,IF(E36&lt;&gt;"",E37,0))))))))))))</f>
        <v>0</v>
      </c>
      <c r="U37" s="93"/>
    </row>
    <row r="38" spans="1:21" s="309" customFormat="1" ht="22" customHeight="1" thickBot="1">
      <c r="B38" s="501"/>
      <c r="C38" s="502"/>
      <c r="D38" s="216" t="str">
        <f>IF(B36="","","%")</f>
        <v/>
      </c>
      <c r="E38" s="215" t="str">
        <f t="shared" ref="E38:R38" si="8">IFERROR(IF($B36="","",E36/E37),"")</f>
        <v/>
      </c>
      <c r="F38" s="215" t="str">
        <f t="shared" si="8"/>
        <v/>
      </c>
      <c r="G38" s="215" t="str">
        <f t="shared" si="8"/>
        <v/>
      </c>
      <c r="H38" s="215" t="str">
        <f t="shared" si="8"/>
        <v/>
      </c>
      <c r="I38" s="215" t="str">
        <f t="shared" si="8"/>
        <v/>
      </c>
      <c r="J38" s="215" t="str">
        <f t="shared" si="8"/>
        <v/>
      </c>
      <c r="K38" s="215" t="str">
        <f t="shared" si="8"/>
        <v/>
      </c>
      <c r="L38" s="215" t="str">
        <f t="shared" si="8"/>
        <v/>
      </c>
      <c r="M38" s="215" t="str">
        <f t="shared" si="8"/>
        <v/>
      </c>
      <c r="N38" s="215" t="str">
        <f t="shared" si="8"/>
        <v/>
      </c>
      <c r="O38" s="215" t="str">
        <f t="shared" si="8"/>
        <v/>
      </c>
      <c r="P38" s="215" t="str">
        <f t="shared" si="8"/>
        <v/>
      </c>
      <c r="Q38" s="215" t="str">
        <f t="shared" si="8"/>
        <v/>
      </c>
      <c r="R38" s="215" t="str">
        <f t="shared" si="8"/>
        <v/>
      </c>
      <c r="T38" s="416"/>
      <c r="U38" s="416"/>
    </row>
    <row r="39" spans="1:21" ht="22" customHeight="1">
      <c r="A39" s="288"/>
      <c r="B39" s="497" t="str">
        <f>IF('O3'!B21="","",'O3'!B21)</f>
        <v/>
      </c>
      <c r="C39" s="498"/>
      <c r="D39" s="400" t="str">
        <f>IF(B39="","",Lan!$F$57)</f>
        <v/>
      </c>
      <c r="E39" s="94"/>
      <c r="F39" s="94"/>
      <c r="G39" s="94"/>
      <c r="H39" s="94"/>
      <c r="I39" s="94"/>
      <c r="J39" s="94"/>
      <c r="K39" s="94"/>
      <c r="L39" s="94"/>
      <c r="M39" s="94"/>
      <c r="N39" s="94"/>
      <c r="O39" s="94"/>
      <c r="P39" s="94"/>
      <c r="Q39" s="402" t="str">
        <f t="array" ref="Q39">IF(B39="","",IFERROR(IF('O3'!$H$21=Data!$J$4,INDEX('KPI3'!E39:P39,COUNT(E39:P39)),IF('O3'!$H$21=Data!$J$2,SUM('KPI3'!E39:P39),IF('O3'!$H$21=Data!$J$3,AVERAGEIF(E39:P39,"&lt;&gt;",E39:P39)))),0))</f>
        <v/>
      </c>
      <c r="R39" s="402" t="str">
        <f t="array" ref="R39">IF(B39="","",IFERROR(IF('O3'!$H$21=Data!$J$4,INDEX('KPI3'!E39:P39,COUNT(E39:P39)),IF('O3'!$H$21=Data!$J$2,SUM('KPI3'!E39:P39),IF('O3'!$H$21=Data!$J$3,AVERAGEIF(E39:P39,"&lt;&gt;",E39:P39)))),0))</f>
        <v/>
      </c>
      <c r="T39" s="93">
        <f>'O3'!G21</f>
        <v>0</v>
      </c>
      <c r="U39" s="93"/>
    </row>
    <row r="40" spans="1:21" ht="22" customHeight="1">
      <c r="A40" s="288"/>
      <c r="B40" s="499"/>
      <c r="C40" s="500"/>
      <c r="D40" s="401" t="str">
        <f>IF(B39="","",Lan!$F$58)</f>
        <v/>
      </c>
      <c r="E40" s="95"/>
      <c r="F40" s="95"/>
      <c r="G40" s="95"/>
      <c r="H40" s="95"/>
      <c r="I40" s="95"/>
      <c r="J40" s="95"/>
      <c r="K40" s="95"/>
      <c r="L40" s="95"/>
      <c r="M40" s="95"/>
      <c r="N40" s="95"/>
      <c r="O40" s="95"/>
      <c r="P40" s="95"/>
      <c r="Q40" s="401" t="str">
        <f>IF(B39="","",IFERROR(IF('O3'!$H$21=Data!$J$4,T40,IF('O3'!$H$21=Data!$J$2,SUMIF('KPI3'!E39:P39,"&lt;&gt;",E40:P40),IF('O3'!$H$21=Data!$J$3,AVERAGEIF(E40:P40,"&lt;&gt;",E40:P40)))),0))</f>
        <v/>
      </c>
      <c r="R40" s="403" t="str">
        <f t="array" ref="R40">IF(B39="","",IFERROR(IF('O3'!$H$21=Data!$J$4,INDEX('KPI3'!E40:P40,COUNT(E40:P40)),IF('O3'!$H$21=Data!$J$2,SUM('KPI3'!E40:P40),IF('O3'!$H$21=Data!$J$3,AVERAGE(E40:P40)))),0))</f>
        <v/>
      </c>
      <c r="T40" s="93">
        <f>IF(P39&lt;&gt;"",P40,IF(O39&lt;&gt;"",O40,IF(N39&lt;&gt;"",N40,IF(M39&lt;&gt;"",M40,IF(L39&lt;&gt;"",L40,IF(K39&lt;&gt;"",K40,IF(J39&lt;&gt;"",J40,IF(I39&lt;&gt;"",I40,IF(H39&lt;&gt;"",H40,IF(G39&lt;&gt;"",G40,IF(F39&lt;&gt;"",F40,IF(E39&lt;&gt;"",E40,0))))))))))))</f>
        <v>0</v>
      </c>
      <c r="U40" s="93"/>
    </row>
    <row r="41" spans="1:21" s="309" customFormat="1" ht="22" customHeight="1" thickBot="1">
      <c r="B41" s="501"/>
      <c r="C41" s="502"/>
      <c r="D41" s="216" t="str">
        <f>IF(B39="","","%")</f>
        <v/>
      </c>
      <c r="E41" s="217" t="str">
        <f t="shared" ref="E41:R41" si="9">IFERROR(IF($B39="","",E39/E40),"")</f>
        <v/>
      </c>
      <c r="F41" s="217" t="str">
        <f t="shared" si="9"/>
        <v/>
      </c>
      <c r="G41" s="217" t="str">
        <f t="shared" si="9"/>
        <v/>
      </c>
      <c r="H41" s="217" t="str">
        <f t="shared" si="9"/>
        <v/>
      </c>
      <c r="I41" s="217" t="str">
        <f t="shared" si="9"/>
        <v/>
      </c>
      <c r="J41" s="217" t="str">
        <f t="shared" si="9"/>
        <v/>
      </c>
      <c r="K41" s="217" t="str">
        <f t="shared" si="9"/>
        <v/>
      </c>
      <c r="L41" s="217" t="str">
        <f t="shared" si="9"/>
        <v/>
      </c>
      <c r="M41" s="217" t="str">
        <f t="shared" si="9"/>
        <v/>
      </c>
      <c r="N41" s="217" t="str">
        <f t="shared" si="9"/>
        <v/>
      </c>
      <c r="O41" s="217" t="str">
        <f t="shared" si="9"/>
        <v/>
      </c>
      <c r="P41" s="217" t="str">
        <f t="shared" si="9"/>
        <v/>
      </c>
      <c r="Q41" s="217" t="str">
        <f t="shared" si="9"/>
        <v/>
      </c>
      <c r="R41" s="217" t="str">
        <f t="shared" si="9"/>
        <v/>
      </c>
      <c r="T41" s="416"/>
      <c r="U41" s="416"/>
    </row>
    <row r="42" spans="1:21" ht="21" customHeight="1">
      <c r="A42" s="288"/>
      <c r="B42" s="299"/>
      <c r="C42" s="288"/>
      <c r="D42" s="288"/>
      <c r="E42" s="288"/>
      <c r="F42" s="288"/>
      <c r="G42" s="288"/>
      <c r="H42" s="288"/>
    </row>
    <row r="43" spans="1:21" ht="21" customHeight="1">
      <c r="A43" s="288"/>
      <c r="B43" s="299"/>
      <c r="C43" s="288"/>
      <c r="D43" s="288"/>
      <c r="E43" s="288"/>
      <c r="F43" s="288"/>
      <c r="G43" s="288"/>
      <c r="H43" s="288"/>
    </row>
    <row r="44" spans="1:21" ht="21" customHeight="1">
      <c r="A44" s="288"/>
      <c r="B44" s="299"/>
      <c r="C44" s="288"/>
      <c r="D44" s="288"/>
      <c r="E44" s="288"/>
      <c r="F44" s="288"/>
      <c r="G44" s="288"/>
      <c r="H44" s="288"/>
    </row>
    <row r="45" spans="1:21" ht="21" customHeight="1">
      <c r="A45" s="288"/>
      <c r="B45" s="299"/>
      <c r="C45" s="288"/>
      <c r="D45" s="288"/>
      <c r="E45" s="288"/>
      <c r="F45" s="288"/>
      <c r="G45" s="288"/>
      <c r="H45" s="288"/>
    </row>
    <row r="46" spans="1:21" ht="21" customHeight="1">
      <c r="A46" s="288"/>
      <c r="B46" s="299"/>
      <c r="C46" s="288"/>
      <c r="D46" s="288"/>
      <c r="E46" s="288"/>
      <c r="F46" s="288"/>
      <c r="G46" s="288"/>
      <c r="H46" s="288"/>
    </row>
    <row r="47" spans="1:21" ht="20" customHeight="1">
      <c r="A47" s="288"/>
      <c r="B47" s="299"/>
      <c r="C47" s="288"/>
      <c r="D47" s="288"/>
      <c r="E47" s="288"/>
      <c r="F47" s="288"/>
      <c r="G47" s="288"/>
      <c r="H47" s="288"/>
    </row>
    <row r="48" spans="1:21" ht="20" customHeight="1">
      <c r="A48" s="288"/>
      <c r="B48" s="299"/>
      <c r="C48" s="288"/>
      <c r="D48" s="288"/>
      <c r="E48" s="288"/>
      <c r="F48" s="288"/>
      <c r="G48" s="288"/>
      <c r="H48" s="288"/>
    </row>
    <row r="49" spans="1:8" ht="20" customHeight="1">
      <c r="A49" s="288"/>
      <c r="B49" s="299"/>
      <c r="C49" s="288"/>
      <c r="D49" s="288"/>
      <c r="E49" s="288"/>
      <c r="F49" s="288"/>
      <c r="G49" s="288"/>
      <c r="H49" s="288"/>
    </row>
    <row r="50" spans="1:8" ht="20" customHeight="1">
      <c r="A50" s="288"/>
      <c r="B50" s="299"/>
      <c r="C50" s="288"/>
      <c r="D50" s="288"/>
      <c r="E50" s="288"/>
      <c r="F50" s="288"/>
      <c r="G50" s="288"/>
      <c r="H50" s="288"/>
    </row>
    <row r="51" spans="1:8" ht="20" customHeight="1">
      <c r="A51" s="288"/>
      <c r="B51" s="299"/>
      <c r="C51" s="288"/>
      <c r="D51" s="288"/>
      <c r="E51" s="288"/>
      <c r="F51" s="288"/>
      <c r="G51" s="288"/>
      <c r="H51" s="288"/>
    </row>
    <row r="52" spans="1:8" ht="20" customHeight="1">
      <c r="A52" s="288"/>
      <c r="B52" s="299"/>
      <c r="C52" s="288"/>
      <c r="D52" s="288"/>
      <c r="E52" s="288"/>
      <c r="F52" s="288"/>
      <c r="G52" s="288"/>
      <c r="H52" s="288"/>
    </row>
    <row r="53" spans="1:8" ht="20" customHeight="1">
      <c r="A53" s="288"/>
      <c r="B53" s="299"/>
      <c r="C53" s="288"/>
      <c r="D53" s="288"/>
      <c r="E53" s="288"/>
      <c r="F53" s="288"/>
      <c r="G53" s="288"/>
      <c r="H53" s="288"/>
    </row>
    <row r="54" spans="1:8" ht="20" customHeight="1">
      <c r="A54" s="288"/>
      <c r="B54" s="300"/>
      <c r="C54" s="288"/>
      <c r="D54" s="288"/>
      <c r="E54" s="288"/>
      <c r="F54" s="288"/>
      <c r="G54" s="288"/>
      <c r="H54" s="288"/>
    </row>
    <row r="55" spans="1:8" ht="20" customHeight="1"/>
    <row r="56" spans="1:8" ht="20" customHeight="1"/>
    <row r="57" spans="1:8" ht="20" customHeight="1"/>
    <row r="58" spans="1:8" ht="20" customHeight="1"/>
    <row r="59" spans="1:8" ht="20" customHeight="1"/>
    <row r="60" spans="1:8" ht="20" customHeight="1"/>
    <row r="61" spans="1:8" ht="20" customHeight="1"/>
    <row r="62" spans="1:8" ht="20" customHeight="1"/>
    <row r="63" spans="1:8" ht="20" customHeight="1"/>
    <row r="64" spans="1:8"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s="290" customFormat="1" ht="20" customHeight="1"/>
    <row r="82" s="290" customFormat="1" ht="20" customHeight="1"/>
    <row r="83" s="290" customFormat="1" ht="20" customHeight="1"/>
    <row r="84" s="290" customFormat="1" ht="20" customHeight="1"/>
    <row r="85" s="290" customFormat="1" ht="20" customHeight="1"/>
    <row r="86" s="290" customFormat="1" ht="20" customHeight="1"/>
    <row r="87" s="290" customFormat="1" ht="20" customHeight="1"/>
  </sheetData>
  <sheetProtection formatCells="0" formatColumns="0" formatRows="0" selectLockedCells="1" sort="0" autoFilter="0" pivotTables="0"/>
  <mergeCells count="11">
    <mergeCell ref="B18:C20"/>
    <mergeCell ref="B11:C11"/>
    <mergeCell ref="B12:C14"/>
    <mergeCell ref="B15:C17"/>
    <mergeCell ref="B39:C41"/>
    <mergeCell ref="B21:C23"/>
    <mergeCell ref="B24:C26"/>
    <mergeCell ref="B27:C29"/>
    <mergeCell ref="B30:C32"/>
    <mergeCell ref="B33:C35"/>
    <mergeCell ref="B36:C38"/>
  </mergeCells>
  <conditionalFormatting sqref="B10:G10">
    <cfRule type="expression" dxfId="816" priority="1">
      <formula>B$10=""</formula>
    </cfRule>
  </conditionalFormatting>
  <conditionalFormatting sqref="B12:R14">
    <cfRule type="expression" dxfId="815" priority="4">
      <formula>$B$12=""</formula>
    </cfRule>
  </conditionalFormatting>
  <conditionalFormatting sqref="B15:R17">
    <cfRule type="expression" dxfId="814" priority="5">
      <formula>$B$15=""</formula>
    </cfRule>
  </conditionalFormatting>
  <conditionalFormatting sqref="B18:R20">
    <cfRule type="expression" dxfId="813" priority="6">
      <formula>$B$18=""</formula>
    </cfRule>
  </conditionalFormatting>
  <conditionalFormatting sqref="B21:R23">
    <cfRule type="expression" dxfId="812" priority="7">
      <formula>$B$21=""</formula>
    </cfRule>
  </conditionalFormatting>
  <conditionalFormatting sqref="B24:R26">
    <cfRule type="expression" dxfId="811" priority="8">
      <formula>$B$24=""</formula>
    </cfRule>
  </conditionalFormatting>
  <conditionalFormatting sqref="B27:R29">
    <cfRule type="expression" dxfId="810" priority="9">
      <formula>$B$27=""</formula>
    </cfRule>
  </conditionalFormatting>
  <conditionalFormatting sqref="B30:R32">
    <cfRule type="expression" dxfId="809" priority="10">
      <formula>$B$30=""</formula>
    </cfRule>
  </conditionalFormatting>
  <conditionalFormatting sqref="B33:R35">
    <cfRule type="expression" dxfId="808" priority="11">
      <formula>$B$33=""</formula>
    </cfRule>
  </conditionalFormatting>
  <conditionalFormatting sqref="B36:R38">
    <cfRule type="expression" dxfId="807" priority="12">
      <formula>$B$36=""</formula>
    </cfRule>
  </conditionalFormatting>
  <conditionalFormatting sqref="B39:R41">
    <cfRule type="expression" dxfId="806" priority="13">
      <formula>$B$39=""</formula>
    </cfRule>
  </conditionalFormatting>
  <conditionalFormatting sqref="E14:R14">
    <cfRule type="expression" dxfId="795" priority="163">
      <formula>AND(E14&lt;$T$8,$T12="↑")</formula>
    </cfRule>
    <cfRule type="expression" dxfId="794" priority="160">
      <formula>AND(E14&lt;=$T$8,$T12="↓")</formula>
    </cfRule>
    <cfRule type="expression" dxfId="793" priority="162">
      <formula>AND(E14&gt;=$T$8,$T12="↑")</formula>
    </cfRule>
    <cfRule type="expression" dxfId="792" priority="161">
      <formula>AND(E14&gt;$T$8,$T12="↓")</formula>
    </cfRule>
  </conditionalFormatting>
  <conditionalFormatting sqref="E17:R17">
    <cfRule type="expression" dxfId="781" priority="159">
      <formula>AND(E17&lt;$T$8,$T15="↑")</formula>
    </cfRule>
    <cfRule type="expression" dxfId="780" priority="158">
      <formula>AND(E17&gt;=$T$8,$T15="↑")</formula>
    </cfRule>
    <cfRule type="expression" dxfId="779" priority="157">
      <formula>AND(E17&gt;$T$8,$T15="↓")</formula>
    </cfRule>
    <cfRule type="expression" dxfId="778" priority="156">
      <formula>AND(E17&lt;=$T$8,$T15="↓")</formula>
    </cfRule>
  </conditionalFormatting>
  <conditionalFormatting sqref="E20:R20">
    <cfRule type="expression" dxfId="767" priority="153">
      <formula>AND(E20&gt;$T$8,$T18="↓")</formula>
    </cfRule>
    <cfRule type="expression" dxfId="766" priority="152">
      <formula>AND(E20&lt;=$T$8,$T18="↓")</formula>
    </cfRule>
    <cfRule type="expression" dxfId="765" priority="155">
      <formula>AND(E20&lt;$T$8,$T18="↑")</formula>
    </cfRule>
    <cfRule type="expression" dxfId="764" priority="154">
      <formula>AND(E20&gt;=$T$8,$T18="↑")</formula>
    </cfRule>
  </conditionalFormatting>
  <conditionalFormatting sqref="E23:R23">
    <cfRule type="expression" dxfId="753" priority="150">
      <formula>AND(E23&gt;=$T$8,$T21="↑")</formula>
    </cfRule>
    <cfRule type="expression" dxfId="752" priority="151">
      <formula>AND(E23&lt;$T$8,$T21="↑")</formula>
    </cfRule>
    <cfRule type="expression" dxfId="751" priority="149">
      <formula>AND(E23&gt;$T$8,$T21="↓")</formula>
    </cfRule>
    <cfRule type="expression" dxfId="750" priority="148">
      <formula>AND(E23&lt;=$T$8,$T21="↓")</formula>
    </cfRule>
  </conditionalFormatting>
  <conditionalFormatting sqref="E26:R26">
    <cfRule type="expression" dxfId="739" priority="145">
      <formula>AND(E26&gt;$T$8,$T24="↓")</formula>
    </cfRule>
    <cfRule type="expression" dxfId="738" priority="144">
      <formula>AND(E26&lt;=$T$8,$T24="↓")</formula>
    </cfRule>
    <cfRule type="expression" dxfId="737" priority="147">
      <formula>AND(E26&lt;$T$8,$T24="↑")</formula>
    </cfRule>
    <cfRule type="expression" dxfId="736" priority="146">
      <formula>AND(E26&gt;=$T$8,$T24="↑")</formula>
    </cfRule>
  </conditionalFormatting>
  <conditionalFormatting sqref="E29:R29">
    <cfRule type="expression" dxfId="725" priority="142">
      <formula>AND(E29&gt;=$T$8,$T27="↑")</formula>
    </cfRule>
    <cfRule type="expression" dxfId="724" priority="140">
      <formula>AND(E29&lt;=$T$8,$T27="↓")</formula>
    </cfRule>
    <cfRule type="expression" dxfId="723" priority="143">
      <formula>AND(E29&lt;$T$8,$T27="↑")</formula>
    </cfRule>
    <cfRule type="expression" dxfId="722" priority="141">
      <formula>AND(E29&gt;$T$8,$T27="↓")</formula>
    </cfRule>
  </conditionalFormatting>
  <conditionalFormatting sqref="E32:R32">
    <cfRule type="expression" dxfId="711" priority="136">
      <formula>AND(E32&lt;=$T$8,$T30="↓")</formula>
    </cfRule>
    <cfRule type="expression" dxfId="710" priority="139">
      <formula>AND(E32&lt;$T$8,$T30="↑")</formula>
    </cfRule>
    <cfRule type="expression" dxfId="709" priority="138">
      <formula>AND(E32&gt;=$T$8,$T30="↑")</formula>
    </cfRule>
    <cfRule type="expression" dxfId="708" priority="137">
      <formula>AND(E32&gt;$T$8,$T30="↓")</formula>
    </cfRule>
  </conditionalFormatting>
  <conditionalFormatting sqref="E35:R35">
    <cfRule type="expression" dxfId="697" priority="132">
      <formula>AND(E35&lt;=$T$8,$T33="↓")</formula>
    </cfRule>
    <cfRule type="expression" dxfId="696" priority="133">
      <formula>AND(E35&gt;$T$8,$T33="↓")</formula>
    </cfRule>
    <cfRule type="expression" dxfId="695" priority="134">
      <formula>AND(E35&gt;=$T$8,$T33="↑")</formula>
    </cfRule>
    <cfRule type="expression" dxfId="694" priority="135">
      <formula>AND(E35&lt;$T$8,$T33="↑")</formula>
    </cfRule>
  </conditionalFormatting>
  <conditionalFormatting sqref="E38:R38">
    <cfRule type="expression" dxfId="683" priority="131">
      <formula>AND(E38&lt;$T$8,$T36="↑")</formula>
    </cfRule>
    <cfRule type="expression" dxfId="682" priority="130">
      <formula>AND(E38&gt;=$T$8,$T36="↑")</formula>
    </cfRule>
    <cfRule type="expression" dxfId="681" priority="129">
      <formula>AND(E38&gt;$T$8,$T36="↓")</formula>
    </cfRule>
    <cfRule type="expression" dxfId="680" priority="128">
      <formula>AND(E38&lt;=$T$8,$T36="↓")</formula>
    </cfRule>
  </conditionalFormatting>
  <conditionalFormatting sqref="E41:R41">
    <cfRule type="expression" dxfId="669" priority="124">
      <formula>AND(E41&lt;=$T$8,$T39="↓")</formula>
    </cfRule>
    <cfRule type="expression" dxfId="668" priority="125">
      <formula>AND(E41&gt;$T$8,$T39="↓")</formula>
    </cfRule>
    <cfRule type="expression" dxfId="667" priority="126">
      <formula>AND(E41&gt;=$T$8,$T39="↑")</formula>
    </cfRule>
    <cfRule type="expression" dxfId="666" priority="127">
      <formula>AND(E41&lt;$T$8,$T39="↑")</formula>
    </cfRule>
  </conditionalFormatting>
  <hyperlinks>
    <hyperlink ref="G10" location="'KPI6'!A1" display="'KPI6'!A1" xr:uid="{1515E382-4FEE-444B-8946-A96210BC7B88}"/>
    <hyperlink ref="F10" location="'KPI5'!A1" display="'KPI5'!A1" xr:uid="{6BCFBFD7-8E87-480A-84DB-24D845CB3D39}"/>
    <hyperlink ref="E10" location="'KPI4'!A1" display="'KPI4'!A1" xr:uid="{8151492C-4230-4B36-BFE8-3CAEA63D1538}"/>
    <hyperlink ref="D10" location="'KPI3'!A1" display="'KPI3'!A1" xr:uid="{BD9745AC-1D0D-4D32-B86B-061F49B716B5}"/>
    <hyperlink ref="C10" location="'KPI2'!A1" display="'KPI2'!A1" xr:uid="{FAE72B0F-D119-41D1-BEAC-E48137506B06}"/>
    <hyperlink ref="B10" location="'KPI1'!A1" display="'KPI1'!A1" xr:uid="{040EA4D9-A58E-4989-865A-86691AC6F0DA}"/>
  </hyperlinks>
  <pageMargins left="0.25" right="0.25" top="0.75" bottom="0.75" header="0.3" footer="0.3"/>
  <pageSetup scale="4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23" id="{7C5A4BEC-2AD3-4717-B234-B65A6D8F005F}">
            <xm:f>'O3'!$F$12=Data!$H$2</xm:f>
            <x14:dxf>
              <numFmt numFmtId="13" formatCode="0%"/>
            </x14:dxf>
          </x14:cfRule>
          <x14:cfRule type="expression" priority="122" id="{1130F25E-2D2D-4632-9060-A0ADA4AE9419}">
            <xm:f>'O3'!$F$12=Data!$H$3</xm:f>
            <x14:dxf>
              <numFmt numFmtId="165" formatCode="0.0%"/>
            </x14:dxf>
          </x14:cfRule>
          <x14:cfRule type="expression" priority="121" id="{9E0B96FF-97EA-4409-8592-5E4087D40BC9}">
            <xm:f>'O3'!$F$12=Data!$H$4</xm:f>
            <x14:dxf>
              <numFmt numFmtId="3" formatCode="#,##0"/>
            </x14:dxf>
          </x14:cfRule>
          <x14:cfRule type="expression" priority="120" id="{E178FC5C-F5D0-44FF-BF9E-2F291BE9F8D6}">
            <xm:f>'O3'!$F$12=Data!$H$5</xm:f>
            <x14:dxf>
              <numFmt numFmtId="173" formatCode="0.0"/>
            </x14:dxf>
          </x14:cfRule>
          <x14:cfRule type="expression" priority="119" id="{D4C9297D-BBE2-4AF5-B9EF-914C0016D05E}">
            <xm:f>'O3'!$F$12=Data!$H$6</xm:f>
            <x14:dxf>
              <numFmt numFmtId="169" formatCode="#,##0\ &quot;$&quot;"/>
            </x14:dxf>
          </x14:cfRule>
          <x14:cfRule type="expression" priority="118" id="{B1208006-A1D3-42E1-8D8D-55D0BEAAA48B}">
            <xm:f>'O3'!$F$12=Data!$H$7</xm:f>
            <x14:dxf>
              <numFmt numFmtId="168" formatCode="[$$-409]#,##0"/>
            </x14:dxf>
          </x14:cfRule>
          <x14:cfRule type="expression" priority="117" id="{8A621420-4645-4850-88B3-43091BC7A70D}">
            <xm:f>'O3'!$F$12=Data!$H$8</xm:f>
            <x14:dxf>
              <numFmt numFmtId="167" formatCode="#,##0\ [$€-1]"/>
            </x14:dxf>
          </x14:cfRule>
          <x14:cfRule type="expression" priority="116" id="{11EC14E3-F5EF-4AB5-8E42-E71ED1EBCDDF}">
            <xm:f>'O3'!$F$12=Data!$H$9</xm:f>
            <x14:dxf>
              <numFmt numFmtId="172" formatCode="[$£-809]#,##0"/>
            </x14:dxf>
          </x14:cfRule>
          <x14:cfRule type="expression" priority="115" id="{B501AAF1-AC67-441B-BC8F-C1CE7BC70F6E}">
            <xm:f>'O3'!$F$12=Data!$H$10</xm:f>
            <x14:dxf>
              <numFmt numFmtId="166" formatCode="[$R$-416]\ #,##0"/>
            </x14:dxf>
          </x14:cfRule>
          <x14:cfRule type="expression" priority="114" id="{EEF868FD-DEB7-4620-AD98-77CFB7075307}">
            <xm:f>'O3'!$F$12=Data!$H$11</xm:f>
            <x14:dxf>
              <numFmt numFmtId="171" formatCode="[$-F400]h:mm:ss\ AM/PM"/>
            </x14:dxf>
          </x14:cfRule>
          <xm:sqref>E12:R13</xm:sqref>
        </x14:conditionalFormatting>
        <x14:conditionalFormatting xmlns:xm="http://schemas.microsoft.com/office/excel/2006/main">
          <x14:cfRule type="expression" priority="110" id="{40979766-2ECA-4AB6-90A8-DD55331F660F}">
            <xm:f>'O3'!$F$13=Data!$H$5</xm:f>
            <x14:dxf>
              <numFmt numFmtId="173" formatCode="0.0"/>
            </x14:dxf>
          </x14:cfRule>
          <x14:cfRule type="expression" priority="113" id="{70281CF8-FE0D-4035-AE79-546043C3A359}">
            <xm:f>'O3'!$F$13=Data!$H$2</xm:f>
            <x14:dxf>
              <numFmt numFmtId="13" formatCode="0%"/>
            </x14:dxf>
          </x14:cfRule>
          <x14:cfRule type="expression" priority="112" id="{57AB6DED-C4D0-4390-8F86-540A3FD6E82E}">
            <xm:f>'O3'!$F$13=Data!$H$3</xm:f>
            <x14:dxf>
              <numFmt numFmtId="165" formatCode="0.0%"/>
            </x14:dxf>
          </x14:cfRule>
          <x14:cfRule type="expression" priority="111" id="{4B0D0E0E-11AD-4455-95B9-90DD46F2880B}">
            <xm:f>'O3'!$F$13=Data!$H$4</xm:f>
            <x14:dxf>
              <numFmt numFmtId="3" formatCode="#,##0"/>
            </x14:dxf>
          </x14:cfRule>
          <x14:cfRule type="expression" priority="109" id="{03A48A21-4E1C-4BF3-8C87-D32BA6B97B21}">
            <xm:f>'O3'!$F$13=Data!$H$6</xm:f>
            <x14:dxf>
              <numFmt numFmtId="169" formatCode="#,##0\ &quot;$&quot;"/>
            </x14:dxf>
          </x14:cfRule>
          <x14:cfRule type="expression" priority="108" id="{0B643FE6-3993-48AE-818F-734E70D6549C}">
            <xm:f>'O3'!$F$13=Data!$H$7</xm:f>
            <x14:dxf>
              <numFmt numFmtId="168" formatCode="[$$-409]#,##0"/>
            </x14:dxf>
          </x14:cfRule>
          <x14:cfRule type="expression" priority="107" id="{ED962664-D382-40E8-951F-0C9881F1D66A}">
            <xm:f>'O3'!$F$13=Data!$H$8</xm:f>
            <x14:dxf>
              <numFmt numFmtId="167" formatCode="#,##0\ [$€-1]"/>
            </x14:dxf>
          </x14:cfRule>
          <x14:cfRule type="expression" priority="106" id="{AC69FD9C-C934-4806-94C8-8D7729BB4AF5}">
            <xm:f>'O3'!$F$13=Data!$H$9</xm:f>
            <x14:dxf>
              <numFmt numFmtId="172" formatCode="[$£-809]#,##0"/>
            </x14:dxf>
          </x14:cfRule>
          <x14:cfRule type="expression" priority="104" id="{726240EB-F95C-46C7-A0DD-D0C83CA9B361}">
            <xm:f>'O3'!$F$13=Data!$H$11</xm:f>
            <x14:dxf>
              <numFmt numFmtId="171" formatCode="[$-F400]h:mm:ss\ AM/PM"/>
            </x14:dxf>
          </x14:cfRule>
          <x14:cfRule type="expression" priority="105" id="{E1BE0453-F026-454D-B784-881795B32F0D}">
            <xm:f>'O3'!$F$13=Data!$H$10</xm:f>
            <x14:dxf>
              <numFmt numFmtId="166" formatCode="[$R$-416]\ #,##0"/>
            </x14:dxf>
          </x14:cfRule>
          <xm:sqref>E15:R16</xm:sqref>
        </x14:conditionalFormatting>
        <x14:conditionalFormatting xmlns:xm="http://schemas.microsoft.com/office/excel/2006/main">
          <x14:cfRule type="expression" priority="100" id="{CF69F5DF-E397-4964-BB93-AAF7D9BD0B61}">
            <xm:f>'O3'!$F$14=Data!$H$5</xm:f>
            <x14:dxf>
              <numFmt numFmtId="173" formatCode="0.0"/>
            </x14:dxf>
          </x14:cfRule>
          <x14:cfRule type="expression" priority="98" id="{F8D07AA1-3263-43D8-AB52-355EE9C8C260}">
            <xm:f>'O3'!$F$14=Data!$H$7</xm:f>
            <x14:dxf>
              <numFmt numFmtId="168" formatCode="[$$-409]#,##0"/>
            </x14:dxf>
          </x14:cfRule>
          <x14:cfRule type="expression" priority="103" id="{D316BBFA-57A3-4535-BAAA-DCE117784B33}">
            <xm:f>'O3'!$F$14=Data!$H$2</xm:f>
            <x14:dxf>
              <numFmt numFmtId="13" formatCode="0%"/>
            </x14:dxf>
          </x14:cfRule>
          <x14:cfRule type="expression" priority="102" id="{06171F39-699B-4E9D-8AA2-1A392C7CF6B8}">
            <xm:f>'O3'!$F$14=Data!$H$3</xm:f>
            <x14:dxf>
              <numFmt numFmtId="165" formatCode="0.0%"/>
            </x14:dxf>
          </x14:cfRule>
          <x14:cfRule type="expression" priority="101" id="{31EED38E-32B8-4364-985F-AD673110CBF4}">
            <xm:f>'O3'!$F$14=Data!$H$4</xm:f>
            <x14:dxf>
              <numFmt numFmtId="3" formatCode="#,##0"/>
            </x14:dxf>
          </x14:cfRule>
          <x14:cfRule type="expression" priority="99" id="{7730A725-F5BA-4914-A9E6-1933659C6994}">
            <xm:f>'O3'!$F$14=Data!$H$6</xm:f>
            <x14:dxf>
              <numFmt numFmtId="169" formatCode="#,##0\ &quot;$&quot;"/>
            </x14:dxf>
          </x14:cfRule>
          <x14:cfRule type="expression" priority="97" id="{C9E9AB56-35C5-41B4-9B8F-9882B93BF0E6}">
            <xm:f>'O3'!$F$14=Data!$H$8</xm:f>
            <x14:dxf>
              <numFmt numFmtId="167" formatCode="#,##0\ [$€-1]"/>
            </x14:dxf>
          </x14:cfRule>
          <x14:cfRule type="expression" priority="96" id="{6BCF5407-F3DD-46D8-AEBD-647856BB58EF}">
            <xm:f>'O3'!$F$14=Data!$H$9</xm:f>
            <x14:dxf>
              <numFmt numFmtId="172" formatCode="[$£-809]#,##0"/>
            </x14:dxf>
          </x14:cfRule>
          <x14:cfRule type="expression" priority="95" id="{3529F4B2-7BC5-40D0-AD27-2104183EE173}">
            <xm:f>'O3'!$F$14=Data!$H$10</xm:f>
            <x14:dxf>
              <numFmt numFmtId="166" formatCode="[$R$-416]\ #,##0"/>
            </x14:dxf>
          </x14:cfRule>
          <x14:cfRule type="expression" priority="94" id="{7B8AD121-5D7A-4A11-B188-B01A9EF379CC}">
            <xm:f>'O3'!$F$14=Data!$H$11</xm:f>
            <x14:dxf>
              <numFmt numFmtId="171" formatCode="[$-F400]h:mm:ss\ AM/PM"/>
            </x14:dxf>
          </x14:cfRule>
          <xm:sqref>E18:R19</xm:sqref>
        </x14:conditionalFormatting>
        <x14:conditionalFormatting xmlns:xm="http://schemas.microsoft.com/office/excel/2006/main">
          <x14:cfRule type="expression" priority="88" id="{596D7C32-20E3-44F6-B1D5-AF14E2FCE180}">
            <xm:f>'O3'!$F$15=Data!$H$7</xm:f>
            <x14:dxf>
              <numFmt numFmtId="168" formatCode="[$$-409]#,##0"/>
            </x14:dxf>
          </x14:cfRule>
          <x14:cfRule type="expression" priority="84" id="{87F1A3CD-5C9D-4115-A287-9DAE1BD3D1FC}">
            <xm:f>'O3'!$F$15=Data!$H$11</xm:f>
            <x14:dxf>
              <numFmt numFmtId="171" formatCode="[$-F400]h:mm:ss\ AM/PM"/>
            </x14:dxf>
          </x14:cfRule>
          <x14:cfRule type="expression" priority="89" id="{B6448985-DEB1-4902-B571-E35192992A0C}">
            <xm:f>'O3'!$F$15=Data!$H$6</xm:f>
            <x14:dxf>
              <numFmt numFmtId="169" formatCode="#,##0\ &quot;$&quot;"/>
            </x14:dxf>
          </x14:cfRule>
          <x14:cfRule type="expression" priority="87" id="{3BC0AD34-1D97-4E54-9D5B-0A72C3F551CC}">
            <xm:f>'O3'!$F$15=Data!$H$8</xm:f>
            <x14:dxf>
              <numFmt numFmtId="167" formatCode="#,##0\ [$€-1]"/>
            </x14:dxf>
          </x14:cfRule>
          <x14:cfRule type="expression" priority="93" id="{B21D3C24-8D41-46C4-88F5-71F389ADFF3A}">
            <xm:f>'O3'!$F$15=Data!$H$2</xm:f>
            <x14:dxf>
              <numFmt numFmtId="13" formatCode="0%"/>
            </x14:dxf>
          </x14:cfRule>
          <x14:cfRule type="expression" priority="92" id="{B621179D-72DF-4E5D-9A6F-6214B2CB6C30}">
            <xm:f>'O3'!$F$15=Data!$H$3</xm:f>
            <x14:dxf>
              <numFmt numFmtId="165" formatCode="0.0%"/>
            </x14:dxf>
          </x14:cfRule>
          <x14:cfRule type="expression" priority="91" id="{8531463D-A438-42E6-8388-8CD00841FD42}">
            <xm:f>'O3'!$F$15=Data!$H$4</xm:f>
            <x14:dxf>
              <numFmt numFmtId="3" formatCode="#,##0"/>
            </x14:dxf>
          </x14:cfRule>
          <x14:cfRule type="expression" priority="90" id="{CD08F407-8A95-4454-916D-ADD664F5A381}">
            <xm:f>'O3'!$F$15=Data!$H$5</xm:f>
            <x14:dxf>
              <numFmt numFmtId="173" formatCode="0.0"/>
            </x14:dxf>
          </x14:cfRule>
          <x14:cfRule type="expression" priority="86" id="{747D065E-BD9D-4178-A060-DBE2FF56686D}">
            <xm:f>'O3'!$F$15=Data!$H$9</xm:f>
            <x14:dxf>
              <numFmt numFmtId="172" formatCode="[$£-809]#,##0"/>
            </x14:dxf>
          </x14:cfRule>
          <x14:cfRule type="expression" priority="85" id="{92458D1B-1DC0-42A3-85BF-D5C0FFC0F065}">
            <xm:f>'O3'!$F$15=Data!$H$10</xm:f>
            <x14:dxf>
              <numFmt numFmtId="166" formatCode="[$R$-416]\ #,##0"/>
            </x14:dxf>
          </x14:cfRule>
          <xm:sqref>E21:R22</xm:sqref>
        </x14:conditionalFormatting>
        <x14:conditionalFormatting xmlns:xm="http://schemas.microsoft.com/office/excel/2006/main">
          <x14:cfRule type="expression" priority="77" id="{8E2FC3B3-E680-41E1-BE04-82988C91C918}">
            <xm:f>'O3'!$F$16=Data!$H$8</xm:f>
            <x14:dxf>
              <numFmt numFmtId="167" formatCode="#,##0\ [$€-1]"/>
            </x14:dxf>
          </x14:cfRule>
          <x14:cfRule type="expression" priority="82" id="{80F57F83-052D-4199-8755-9C07BB099674}">
            <xm:f>'O3'!$F$16=Data!$H$3</xm:f>
            <x14:dxf>
              <numFmt numFmtId="165" formatCode="0.0%"/>
            </x14:dxf>
          </x14:cfRule>
          <x14:cfRule type="expression" priority="83" id="{5A965214-99E7-4947-B0D8-BBD3886786ED}">
            <xm:f>'O3'!$F$16=Data!$H$2</xm:f>
            <x14:dxf>
              <numFmt numFmtId="13" formatCode="0%"/>
            </x14:dxf>
          </x14:cfRule>
          <x14:cfRule type="expression" priority="76" id="{80C54F42-E839-420D-8A24-3014FDF10EE8}">
            <xm:f>'O3'!$F$16=Data!$H$9</xm:f>
            <x14:dxf>
              <numFmt numFmtId="172" formatCode="[$£-809]#,##0"/>
            </x14:dxf>
          </x14:cfRule>
          <x14:cfRule type="expression" priority="75" id="{6B6B53BB-008D-497D-B73D-3C10493BD75C}">
            <xm:f>'O3'!$F$16=Data!$H$10</xm:f>
            <x14:dxf>
              <numFmt numFmtId="166" formatCode="[$R$-416]\ #,##0"/>
            </x14:dxf>
          </x14:cfRule>
          <x14:cfRule type="expression" priority="74" id="{70ED6D0B-F7C5-4948-824A-CF8C54108906}">
            <xm:f>'O3'!$F$16=Data!$H$11</xm:f>
            <x14:dxf>
              <numFmt numFmtId="171" formatCode="[$-F400]h:mm:ss\ AM/PM"/>
            </x14:dxf>
          </x14:cfRule>
          <x14:cfRule type="expression" priority="78" id="{D0BB1BBA-2771-4890-9559-C62C7B5B6389}">
            <xm:f>'O3'!$F$16=Data!$H$7</xm:f>
            <x14:dxf>
              <numFmt numFmtId="168" formatCode="[$$-409]#,##0"/>
            </x14:dxf>
          </x14:cfRule>
          <x14:cfRule type="expression" priority="80" id="{0F8F372E-C37E-4261-864B-14EFFED46C95}">
            <xm:f>'O3'!$F$16=Data!$H$5</xm:f>
            <x14:dxf>
              <numFmt numFmtId="173" formatCode="0.0"/>
            </x14:dxf>
          </x14:cfRule>
          <x14:cfRule type="expression" priority="81" id="{E6EF8AE5-5C30-4787-AD74-2EEE0CE6FAA1}">
            <xm:f>'O3'!$F$16=Data!$H$4</xm:f>
            <x14:dxf>
              <numFmt numFmtId="3" formatCode="#,##0"/>
            </x14:dxf>
          </x14:cfRule>
          <x14:cfRule type="expression" priority="79" id="{D803EC84-BCA0-42E0-B03E-1B2393C45741}">
            <xm:f>'O3'!$F$16=Data!$H$6</xm:f>
            <x14:dxf>
              <numFmt numFmtId="169" formatCode="#,##0\ &quot;$&quot;"/>
            </x14:dxf>
          </x14:cfRule>
          <xm:sqref>E24:R25</xm:sqref>
        </x14:conditionalFormatting>
        <x14:conditionalFormatting xmlns:xm="http://schemas.microsoft.com/office/excel/2006/main">
          <x14:cfRule type="expression" priority="66" id="{DB3E1AC1-8173-4677-BA02-14ACEA5DF8C3}">
            <xm:f>'O3'!$F$17=Data!$H$9</xm:f>
            <x14:dxf>
              <numFmt numFmtId="172" formatCode="[$£-809]#,##0"/>
            </x14:dxf>
          </x14:cfRule>
          <x14:cfRule type="expression" priority="65" id="{7A0C8FF0-8C30-46E4-86F4-6E2DDE5CF94F}">
            <xm:f>'O3'!$F$17=Data!$H$10</xm:f>
            <x14:dxf>
              <numFmt numFmtId="166" formatCode="[$R$-416]\ #,##0"/>
            </x14:dxf>
          </x14:cfRule>
          <x14:cfRule type="expression" priority="73" id="{E0CAC9FC-BD52-4354-B558-23A2A441EEF6}">
            <xm:f>'O3'!$F$17=Data!$H$2</xm:f>
            <x14:dxf>
              <numFmt numFmtId="13" formatCode="0%"/>
            </x14:dxf>
          </x14:cfRule>
          <x14:cfRule type="expression" priority="72" id="{1FC8BFC5-FDCB-4C33-A41A-A657A13B549F}">
            <xm:f>'O3'!$F$17=Data!$H$3</xm:f>
            <x14:dxf>
              <numFmt numFmtId="165" formatCode="0.0%"/>
            </x14:dxf>
          </x14:cfRule>
          <x14:cfRule type="expression" priority="71" id="{8DE200EF-0E99-4C22-AA16-76A2B6BA51E8}">
            <xm:f>'O3'!$F$17=Data!$H$4</xm:f>
            <x14:dxf>
              <numFmt numFmtId="3" formatCode="#,##0"/>
            </x14:dxf>
          </x14:cfRule>
          <x14:cfRule type="expression" priority="70" id="{8511CFCA-DE2B-46F6-8764-C5A0EFBD992A}">
            <xm:f>'O3'!$F$17=Data!$H$5</xm:f>
            <x14:dxf>
              <numFmt numFmtId="173" formatCode="0.0"/>
            </x14:dxf>
          </x14:cfRule>
          <x14:cfRule type="expression" priority="64" id="{0BFDC08A-4BD0-4662-8F57-8C9403127B95}">
            <xm:f>'O3'!$F$17=Data!$H$11</xm:f>
            <x14:dxf>
              <numFmt numFmtId="171" formatCode="[$-F400]h:mm:ss\ AM/PM"/>
            </x14:dxf>
          </x14:cfRule>
          <x14:cfRule type="expression" priority="67" id="{28D61C7D-0090-4920-97D2-810FD38E5AA3}">
            <xm:f>'O3'!$F$17=Data!$H$8</xm:f>
            <x14:dxf>
              <numFmt numFmtId="167" formatCode="#,##0\ [$€-1]"/>
            </x14:dxf>
          </x14:cfRule>
          <x14:cfRule type="expression" priority="69" id="{0460B3B7-3A22-4E9F-A24E-09D3E176D7B0}">
            <xm:f>'O3'!$F$17=Data!$H$6</xm:f>
            <x14:dxf>
              <numFmt numFmtId="169" formatCode="#,##0\ &quot;$&quot;"/>
            </x14:dxf>
          </x14:cfRule>
          <x14:cfRule type="expression" priority="68" id="{D4E3B26A-5F98-4810-9CB1-9994B52DB7D2}">
            <xm:f>'O3'!$F$17=Data!$H$7</xm:f>
            <x14:dxf>
              <numFmt numFmtId="168" formatCode="[$$-409]#,##0"/>
            </x14:dxf>
          </x14:cfRule>
          <xm:sqref>E27:R28</xm:sqref>
        </x14:conditionalFormatting>
        <x14:conditionalFormatting xmlns:xm="http://schemas.microsoft.com/office/excel/2006/main">
          <x14:cfRule type="expression" priority="60" id="{C3AAAB89-0C75-49BE-BA35-EA37229B5809}">
            <xm:f>'O3'!$F$18=Data!$H$5</xm:f>
            <x14:dxf>
              <numFmt numFmtId="173" formatCode="0.0"/>
            </x14:dxf>
          </x14:cfRule>
          <x14:cfRule type="expression" priority="54" id="{DAFE4E39-CA67-41B2-A1B3-4F405EB13AC0}">
            <xm:f>'O3'!$F$18=Data!$H$11</xm:f>
            <x14:dxf>
              <numFmt numFmtId="171" formatCode="[$-F400]h:mm:ss\ AM/PM"/>
            </x14:dxf>
          </x14:cfRule>
          <x14:cfRule type="expression" priority="55" id="{504A2907-26D7-43EF-A3CE-9F0FEB426DAB}">
            <xm:f>'O3'!$F$18=Data!$H$10</xm:f>
            <x14:dxf>
              <numFmt numFmtId="166" formatCode="[$R$-416]\ #,##0"/>
            </x14:dxf>
          </x14:cfRule>
          <x14:cfRule type="expression" priority="56" id="{18655DFB-F3D5-4DFA-9C62-43DB29279EDD}">
            <xm:f>'O3'!$F$18=Data!$H$9</xm:f>
            <x14:dxf>
              <numFmt numFmtId="172" formatCode="[$£-809]#,##0"/>
            </x14:dxf>
          </x14:cfRule>
          <x14:cfRule type="expression" priority="57" id="{6556F9FA-8D60-47F7-90C4-1B1C52EF5B69}">
            <xm:f>'O3'!$F$18=Data!$H$8</xm:f>
            <x14:dxf>
              <numFmt numFmtId="167" formatCode="#,##0\ [$€-1]"/>
            </x14:dxf>
          </x14:cfRule>
          <x14:cfRule type="expression" priority="58" id="{8945E927-641E-45D6-BB10-51DBB175F31F}">
            <xm:f>'O3'!$F$18=Data!$H$7</xm:f>
            <x14:dxf>
              <numFmt numFmtId="168" formatCode="[$$-409]#,##0"/>
            </x14:dxf>
          </x14:cfRule>
          <x14:cfRule type="expression" priority="59" id="{AC4C319F-3C9C-4B19-8D54-B5BC3CE0209E}">
            <xm:f>'O3'!$F$18=Data!$H$6</xm:f>
            <x14:dxf>
              <numFmt numFmtId="169" formatCode="#,##0\ &quot;$&quot;"/>
            </x14:dxf>
          </x14:cfRule>
          <x14:cfRule type="expression" priority="62" id="{1672958B-0185-4340-87D1-3DCEAA992255}">
            <xm:f>'O3'!$F$18=Data!$H$3</xm:f>
            <x14:dxf>
              <numFmt numFmtId="165" formatCode="0.0%"/>
            </x14:dxf>
          </x14:cfRule>
          <x14:cfRule type="expression" priority="63" id="{99A8C526-8A59-4C75-A960-54244A7EE1A8}">
            <xm:f>'O3'!$F$18=Data!$H$2</xm:f>
            <x14:dxf>
              <numFmt numFmtId="13" formatCode="0%"/>
            </x14:dxf>
          </x14:cfRule>
          <x14:cfRule type="expression" priority="61" id="{9C651C07-E853-4A1C-A95D-7C289DA5E7E5}">
            <xm:f>'O3'!$F$18=Data!$H$4</xm:f>
            <x14:dxf>
              <numFmt numFmtId="3" formatCode="#,##0"/>
            </x14:dxf>
          </x14:cfRule>
          <xm:sqref>E30:R31</xm:sqref>
        </x14:conditionalFormatting>
        <x14:conditionalFormatting xmlns:xm="http://schemas.microsoft.com/office/excel/2006/main">
          <x14:cfRule type="expression" priority="46" id="{5985A7FC-4CAC-4AB1-BF3E-4FA2881E0CFE}">
            <xm:f>'O3'!$F$19=Data!$H$9</xm:f>
            <x14:dxf>
              <numFmt numFmtId="172" formatCode="[$£-809]#,##0"/>
            </x14:dxf>
          </x14:cfRule>
          <x14:cfRule type="expression" priority="45" id="{A37FDCE4-98F3-4025-8E0A-C1E9A6AD7B96}">
            <xm:f>'O3'!$F$19=Data!$H$10</xm:f>
            <x14:dxf>
              <numFmt numFmtId="166" formatCode="[$R$-416]\ #,##0"/>
            </x14:dxf>
          </x14:cfRule>
          <x14:cfRule type="expression" priority="47" id="{D71A74B4-DC16-4494-829D-284603054F80}">
            <xm:f>'O3'!$F$19=Data!$H$8</xm:f>
            <x14:dxf>
              <numFmt numFmtId="167" formatCode="#,##0\ [$€-1]"/>
            </x14:dxf>
          </x14:cfRule>
          <x14:cfRule type="expression" priority="48" id="{B2F1DE79-719C-4C95-AD5B-B92C86A2CD38}">
            <xm:f>'O3'!$F$19=Data!$H$7</xm:f>
            <x14:dxf>
              <numFmt numFmtId="168" formatCode="[$$-409]#,##0"/>
            </x14:dxf>
          </x14:cfRule>
          <x14:cfRule type="expression" priority="49" id="{88457917-CF85-452C-933A-567F8ED3BEEC}">
            <xm:f>'O3'!$F$19=Data!$H$6</xm:f>
            <x14:dxf>
              <numFmt numFmtId="169" formatCode="#,##0\ &quot;$&quot;"/>
            </x14:dxf>
          </x14:cfRule>
          <x14:cfRule type="expression" priority="50" id="{45D0BD5B-A484-4D0C-9045-0213C33A2625}">
            <xm:f>'O3'!$F$19=Data!$H$5</xm:f>
            <x14:dxf>
              <numFmt numFmtId="173" formatCode="0.0"/>
            </x14:dxf>
          </x14:cfRule>
          <x14:cfRule type="expression" priority="51" id="{2BBEA734-4634-4F37-8244-A0D16D0C61A8}">
            <xm:f>'O3'!$F$19=Data!$H$4</xm:f>
            <x14:dxf>
              <numFmt numFmtId="3" formatCode="#,##0"/>
            </x14:dxf>
          </x14:cfRule>
          <x14:cfRule type="expression" priority="52" id="{F8EB4AF4-4BAC-4EF3-A078-CD2EE256EDBD}">
            <xm:f>'O3'!$F$19=Data!$H$3</xm:f>
            <x14:dxf>
              <numFmt numFmtId="165" formatCode="0.0%"/>
            </x14:dxf>
          </x14:cfRule>
          <x14:cfRule type="expression" priority="53" id="{B2B59A25-4176-47EB-88CA-0CADA7AE276E}">
            <xm:f>'O3'!$F$19=Data!$H$2</xm:f>
            <x14:dxf>
              <numFmt numFmtId="13" formatCode="0%"/>
            </x14:dxf>
          </x14:cfRule>
          <x14:cfRule type="expression" priority="44" id="{FFC2310F-1830-4CB4-802C-89892D724288}">
            <xm:f>'O3'!$F$19=Data!$H$11</xm:f>
            <x14:dxf>
              <numFmt numFmtId="171" formatCode="[$-F400]h:mm:ss\ AM/PM"/>
            </x14:dxf>
          </x14:cfRule>
          <xm:sqref>E33:R34</xm:sqref>
        </x14:conditionalFormatting>
        <x14:conditionalFormatting xmlns:xm="http://schemas.microsoft.com/office/excel/2006/main">
          <x14:cfRule type="expression" priority="35" id="{82D4DC96-0EE7-4F06-8FC1-8250B728D721}">
            <xm:f>'O3'!$F$20=Data!$H$10</xm:f>
            <x14:dxf>
              <numFmt numFmtId="166" formatCode="[$R$-416]\ #,##0"/>
            </x14:dxf>
          </x14:cfRule>
          <x14:cfRule type="expression" priority="36" id="{2C9A2C3C-0BCC-4DDD-A37A-4F63E794B846}">
            <xm:f>'O3'!$F$20=Data!$H$9</xm:f>
            <x14:dxf>
              <numFmt numFmtId="172" formatCode="[$£-809]#,##0"/>
            </x14:dxf>
          </x14:cfRule>
          <x14:cfRule type="expression" priority="37" id="{BC927F24-1EC7-49DE-8DBD-26F37D812E42}">
            <xm:f>'O3'!$F$20=Data!$H$8</xm:f>
            <x14:dxf>
              <numFmt numFmtId="167" formatCode="#,##0\ [$€-1]"/>
            </x14:dxf>
          </x14:cfRule>
          <x14:cfRule type="expression" priority="38" id="{C73A4152-5CDE-433B-9234-CF85F70037B4}">
            <xm:f>'O3'!$F$20=Data!$H$7</xm:f>
            <x14:dxf>
              <numFmt numFmtId="168" formatCode="[$$-409]#,##0"/>
            </x14:dxf>
          </x14:cfRule>
          <x14:cfRule type="expression" priority="39" id="{3FB832D4-DA5B-4A66-B61E-4E3B1AD65F7C}">
            <xm:f>'O3'!$F$20=Data!$H$6</xm:f>
            <x14:dxf>
              <numFmt numFmtId="169" formatCode="#,##0\ &quot;$&quot;"/>
            </x14:dxf>
          </x14:cfRule>
          <x14:cfRule type="expression" priority="40" id="{DE399560-EADF-4438-B2FA-F0638871E7A4}">
            <xm:f>'O3'!$F$20=Data!$H$5</xm:f>
            <x14:dxf>
              <numFmt numFmtId="173" formatCode="0.0"/>
            </x14:dxf>
          </x14:cfRule>
          <x14:cfRule type="expression" priority="41" id="{6F73F37D-A951-413B-A6AB-6870ED4809FD}">
            <xm:f>'O3'!$F$20=Data!$H$4</xm:f>
            <x14:dxf>
              <numFmt numFmtId="3" formatCode="#,##0"/>
            </x14:dxf>
          </x14:cfRule>
          <x14:cfRule type="expression" priority="42" id="{8E88FA0C-F267-43AB-B3C9-2A4FBED9D289}">
            <xm:f>'O3'!$F$20=Data!$H$3</xm:f>
            <x14:dxf>
              <numFmt numFmtId="165" formatCode="0.0%"/>
            </x14:dxf>
          </x14:cfRule>
          <x14:cfRule type="expression" priority="43" id="{8FA50F4A-CA91-4019-8044-7AF5AA277A9D}">
            <xm:f>'O3'!$F$20=Data!$H$2</xm:f>
            <x14:dxf>
              <numFmt numFmtId="13" formatCode="0%"/>
            </x14:dxf>
          </x14:cfRule>
          <x14:cfRule type="expression" priority="34" id="{1E00EE18-5CC4-4127-B929-82A56BD211FD}">
            <xm:f>'O3'!$F$20=Data!$H$11</xm:f>
            <x14:dxf>
              <numFmt numFmtId="171" formatCode="[$-F400]h:mm:ss\ AM/PM"/>
            </x14:dxf>
          </x14:cfRule>
          <xm:sqref>E36:R37</xm:sqref>
        </x14:conditionalFormatting>
        <x14:conditionalFormatting xmlns:xm="http://schemas.microsoft.com/office/excel/2006/main">
          <x14:cfRule type="expression" priority="29" id="{84D127F5-6309-43BC-A073-C182289CACC9}">
            <xm:f>'O3'!$F$21=Data!$H$6</xm:f>
            <x14:dxf>
              <numFmt numFmtId="169" formatCode="#,##0\ &quot;$&quot;"/>
            </x14:dxf>
          </x14:cfRule>
          <x14:cfRule type="expression" priority="30" id="{62491D32-6F7A-416C-AAD2-B7A3F40F717B}">
            <xm:f>'O3'!$F$21=Data!$H$5</xm:f>
            <x14:dxf>
              <numFmt numFmtId="173" formatCode="0.0"/>
            </x14:dxf>
          </x14:cfRule>
          <x14:cfRule type="expression" priority="31" id="{0DFB1621-3440-42D5-B300-AC4058602DD5}">
            <xm:f>'O3'!$F$21=Data!$H$4</xm:f>
            <x14:dxf>
              <numFmt numFmtId="3" formatCode="#,##0"/>
            </x14:dxf>
          </x14:cfRule>
          <x14:cfRule type="expression" priority="33" id="{106B39F0-2E74-485E-A0F8-2BAB03E127B0}">
            <xm:f>'O3'!$F$21=Data!$H$2</xm:f>
            <x14:dxf>
              <numFmt numFmtId="13" formatCode="0%"/>
            </x14:dxf>
          </x14:cfRule>
          <x14:cfRule type="expression" priority="28" id="{429CB93E-EB71-4E74-B41D-5829AABDA85D}">
            <xm:f>'O3'!$F$21=Data!$H$7</xm:f>
            <x14:dxf>
              <numFmt numFmtId="168" formatCode="[$$-409]#,##0"/>
            </x14:dxf>
          </x14:cfRule>
          <x14:cfRule type="expression" priority="27" id="{1D30C0E2-8FFC-49B4-BE2A-472059F6F648}">
            <xm:f>'O3'!$F$21=Data!$H$8</xm:f>
            <x14:dxf>
              <numFmt numFmtId="167" formatCode="#,##0\ [$€-1]"/>
            </x14:dxf>
          </x14:cfRule>
          <x14:cfRule type="expression" priority="26" id="{9DE52930-AD8B-4AC0-8073-90F51593E719}">
            <xm:f>'O3'!$F$21=Data!$H$9</xm:f>
            <x14:dxf>
              <numFmt numFmtId="172" formatCode="[$£-809]#,##0"/>
            </x14:dxf>
          </x14:cfRule>
          <x14:cfRule type="expression" priority="25" id="{8FF8561F-73B2-46BB-BDDE-18DC739C31CA}">
            <xm:f>'O3'!$F$21=Data!$H$10</xm:f>
            <x14:dxf>
              <numFmt numFmtId="166" formatCode="[$R$-416]\ #,##0"/>
            </x14:dxf>
          </x14:cfRule>
          <x14:cfRule type="expression" priority="24" id="{EAD375B8-0F58-424D-A981-2825420BF919}">
            <xm:f>'O3'!$F$21=Data!$H$11</xm:f>
            <x14:dxf>
              <numFmt numFmtId="171" formatCode="[$-F400]h:mm:ss\ AM/PM"/>
            </x14:dxf>
          </x14:cfRule>
          <x14:cfRule type="expression" priority="32" id="{BD2E2169-409D-4B0E-83E7-1E253EC20038}">
            <xm:f>'O3'!$F$21=Data!$H$3</xm:f>
            <x14:dxf>
              <numFmt numFmtId="165" formatCode="0.0%"/>
            </x14:dxf>
          </x14:cfRule>
          <xm:sqref>E39:R40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E982F-BD3E-49B9-A91D-C67C48954602}">
  <dimension ref="A1:U87"/>
  <sheetViews>
    <sheetView showGridLines="0" showRowColHeaders="0" zoomScaleNormal="100" workbookViewId="0">
      <selection activeCell="F10" sqref="F10"/>
    </sheetView>
  </sheetViews>
  <sheetFormatPr baseColWidth="10" defaultColWidth="11.5" defaultRowHeight="15"/>
  <cols>
    <col min="1" max="1" width="2.6640625" style="290" customWidth="1"/>
    <col min="2" max="18" width="16.6640625" style="290" customWidth="1"/>
    <col min="19" max="19" width="1.5" style="290" customWidth="1"/>
    <col min="20" max="21" width="11.5" style="290" hidden="1" customWidth="1"/>
    <col min="22" max="16384" width="11.5" style="290"/>
  </cols>
  <sheetData>
    <row r="1" spans="1:21" s="249" customFormat="1" ht="39" customHeight="1">
      <c r="A1" s="248"/>
      <c r="B1" s="248"/>
      <c r="C1" s="248"/>
      <c r="D1" s="248"/>
      <c r="E1" s="248"/>
      <c r="F1" s="248"/>
      <c r="G1" s="248"/>
      <c r="H1" s="248"/>
      <c r="I1" s="248"/>
      <c r="J1" s="248"/>
      <c r="K1" s="248"/>
      <c r="L1" s="248"/>
      <c r="M1" s="248"/>
      <c r="N1" s="248"/>
      <c r="O1" s="248"/>
      <c r="P1" s="248"/>
      <c r="Q1" s="248"/>
      <c r="R1" s="248"/>
      <c r="S1" s="248"/>
    </row>
    <row r="2" spans="1:21" s="308" customFormat="1" ht="25" customHeight="1"/>
    <row r="3" spans="1:21" s="287" customFormat="1" ht="18" customHeight="1"/>
    <row r="4" spans="1:21" s="287" customFormat="1" ht="18" customHeight="1"/>
    <row r="5" spans="1:21" s="287" customFormat="1" ht="20" customHeight="1"/>
    <row r="6" spans="1:21" s="287" customFormat="1" ht="20" customHeight="1">
      <c r="A6" s="285"/>
      <c r="B6" s="285"/>
      <c r="C6" s="285"/>
      <c r="D6" s="285"/>
      <c r="E6" s="285"/>
      <c r="F6" s="285"/>
      <c r="G6" s="285"/>
      <c r="H6" s="408"/>
    </row>
    <row r="7" spans="1:21" ht="20" customHeight="1">
      <c r="A7" s="288"/>
      <c r="B7" s="303" t="str">
        <f>Lan!F43&amp;" - "&amp;Goals!C15</f>
        <v>2.3. Objetivos - Asegurar la calidad e inocuidad de los productos en todos los procesos de la planta.</v>
      </c>
      <c r="C7" s="303"/>
      <c r="D7" s="303"/>
      <c r="E7" s="303"/>
      <c r="F7" s="303"/>
      <c r="G7" s="303"/>
      <c r="H7" s="360"/>
      <c r="I7" s="93"/>
      <c r="J7" s="93"/>
      <c r="K7" s="93"/>
      <c r="L7" s="93"/>
      <c r="M7" s="93"/>
      <c r="N7" s="93"/>
      <c r="O7" s="93"/>
      <c r="P7" s="93"/>
      <c r="Q7" s="93"/>
      <c r="R7" s="93"/>
    </row>
    <row r="8" spans="1:21" ht="20" customHeight="1">
      <c r="A8" s="288"/>
      <c r="B8" s="334" t="str">
        <f>Lan!F44</f>
        <v>Los objetivos proporcionan hitos específicos con un cronograma específico para lograr una meta.</v>
      </c>
      <c r="C8" s="92"/>
      <c r="D8" s="92"/>
      <c r="E8" s="92"/>
      <c r="F8" s="92"/>
      <c r="G8" s="92"/>
      <c r="H8" s="418"/>
      <c r="I8" s="93"/>
      <c r="J8" s="93"/>
      <c r="K8" s="93"/>
      <c r="L8" s="93"/>
      <c r="M8" s="93"/>
      <c r="N8" s="93"/>
      <c r="O8" s="93"/>
      <c r="P8" s="93"/>
      <c r="Q8" s="93"/>
      <c r="R8" s="93"/>
      <c r="T8" s="415">
        <f>Settings!E22</f>
        <v>0.9</v>
      </c>
      <c r="U8" s="93"/>
    </row>
    <row r="9" spans="1:21" ht="20" customHeight="1" thickBot="1">
      <c r="A9" s="288"/>
      <c r="B9" s="92"/>
      <c r="C9" s="92"/>
      <c r="D9" s="92"/>
      <c r="E9" s="92"/>
      <c r="F9" s="92"/>
      <c r="G9" s="92"/>
      <c r="H9" s="92"/>
      <c r="I9" s="93"/>
      <c r="J9" s="93"/>
      <c r="K9" s="93"/>
      <c r="L9" s="93"/>
      <c r="M9" s="93"/>
      <c r="N9" s="93"/>
      <c r="O9" s="93"/>
      <c r="P9" s="93"/>
      <c r="Q9" s="93"/>
      <c r="R9" s="93"/>
      <c r="T9" s="415"/>
      <c r="U9" s="93"/>
    </row>
    <row r="10" spans="1:21" ht="20" customHeight="1" thickTop="1" thickBot="1">
      <c r="A10" s="288"/>
      <c r="B10" s="419" t="str">
        <f>IF(Goals!$C$12="","",Goals!$B$12)</f>
        <v>Meta 1</v>
      </c>
      <c r="C10" s="419" t="str">
        <f>IF(Goals!$C$13="","",Goals!$B$13)</f>
        <v>Meta 2</v>
      </c>
      <c r="D10" s="419" t="str">
        <f>IF(Goals!$C$14="","",Goals!$B$14)</f>
        <v>Meta 3</v>
      </c>
      <c r="E10" s="420" t="str">
        <f>IF(Goals!$C$15="","",Goals!$B$15)</f>
        <v>Meta 4</v>
      </c>
      <c r="F10" s="419" t="str">
        <f>IF(Goals!$C$16="","",Goals!$B$16)</f>
        <v>Meta 5</v>
      </c>
      <c r="G10" s="419" t="str">
        <f>IF(Goals!$C$17="","",Goals!$B$17)</f>
        <v>Meta 6</v>
      </c>
      <c r="H10" s="412"/>
      <c r="I10" s="413"/>
      <c r="J10" s="413"/>
      <c r="K10" s="413"/>
      <c r="L10" s="413"/>
      <c r="M10" s="413"/>
      <c r="N10" s="413"/>
      <c r="O10" s="413"/>
      <c r="P10" s="413"/>
      <c r="Q10" s="413"/>
      <c r="R10" s="414"/>
      <c r="T10" s="415"/>
      <c r="U10" s="93"/>
    </row>
    <row r="11" spans="1:21" ht="30" customHeight="1" thickTop="1" thickBot="1">
      <c r="A11" s="288"/>
      <c r="B11" s="503" t="str">
        <f>Lan!$F$45</f>
        <v>Objetivos</v>
      </c>
      <c r="C11" s="504"/>
      <c r="D11" s="365" t="str">
        <f>Lan!$F$57&amp;" / "&amp;Lan!$F$58</f>
        <v>Actual / Meta</v>
      </c>
      <c r="E11" s="365" t="str">
        <f>Data!$A$2</f>
        <v>ENE</v>
      </c>
      <c r="F11" s="365" t="str">
        <f>Data!$A$3</f>
        <v>FEB</v>
      </c>
      <c r="G11" s="365" t="str">
        <f>Data!$A$4</f>
        <v>MAR</v>
      </c>
      <c r="H11" s="365" t="str">
        <f>Data!$A$5</f>
        <v>ABR</v>
      </c>
      <c r="I11" s="365" t="str">
        <f>Data!$A$6</f>
        <v>MAY</v>
      </c>
      <c r="J11" s="365" t="str">
        <f>Data!$A$7</f>
        <v>JUN</v>
      </c>
      <c r="K11" s="365" t="str">
        <f>Data!$A$8</f>
        <v>JUL</v>
      </c>
      <c r="L11" s="365" t="str">
        <f>Data!$A$9</f>
        <v>AGO</v>
      </c>
      <c r="M11" s="365" t="str">
        <f>Data!$A$10</f>
        <v>SEP</v>
      </c>
      <c r="N11" s="365" t="str">
        <f>Data!$A$11</f>
        <v>OCT</v>
      </c>
      <c r="O11" s="365" t="str">
        <f>Data!$A$12</f>
        <v>NOV</v>
      </c>
      <c r="P11" s="365" t="str">
        <f>Data!$A$13</f>
        <v>DIC</v>
      </c>
      <c r="Q11" s="365" t="str">
        <f>Lan!F60</f>
        <v>Acumulado</v>
      </c>
      <c r="R11" s="365" t="str">
        <f>Data!$A$15</f>
        <v>TOTAL</v>
      </c>
      <c r="T11" s="93"/>
      <c r="U11" s="93"/>
    </row>
    <row r="12" spans="1:21" ht="22" customHeight="1">
      <c r="A12" s="288"/>
      <c r="B12" s="497" t="str">
        <f>IF('O4'!B12="","",'O4'!B12)</f>
        <v>Obtener la certificación de Buenas Prácticas de Manufactura antes de noviembre de 2026.</v>
      </c>
      <c r="C12" s="498"/>
      <c r="D12" s="400" t="str">
        <f>IF(B12="","",Lan!$F$57)</f>
        <v>Actual</v>
      </c>
      <c r="E12" s="94">
        <v>0.04</v>
      </c>
      <c r="F12" s="94">
        <v>0.05</v>
      </c>
      <c r="G12" s="94">
        <v>0.06</v>
      </c>
      <c r="H12" s="94">
        <v>0.04</v>
      </c>
      <c r="I12" s="94">
        <v>0.04</v>
      </c>
      <c r="J12" s="94">
        <v>0.04</v>
      </c>
      <c r="K12" s="94">
        <v>0.04</v>
      </c>
      <c r="L12" s="94">
        <v>0.04</v>
      </c>
      <c r="M12" s="94">
        <v>0.06</v>
      </c>
      <c r="N12" s="94">
        <v>4.4999999999999998E-2</v>
      </c>
      <c r="O12" s="94">
        <v>4.4999999999999998E-2</v>
      </c>
      <c r="P12" s="94">
        <v>0.05</v>
      </c>
      <c r="Q12" s="402">
        <f t="array" ref="Q12">IF(B12="","",IFERROR(IF('O4'!$H$12=Data!$J$4,INDEX('KPI4'!E12:P12,COUNT(E12:P12)),IF('O4'!$H$12=Data!$J$2,SUM('KPI4'!E12:P12),IF('O4'!$H$12=Data!$J$3,AVERAGEIF(E12:P12,"&lt;&gt;",E12:P12)))),0))</f>
        <v>0.54999999999999993</v>
      </c>
      <c r="R12" s="402">
        <f t="array" ref="R12">IF(B12="","",IFERROR(IF('O4'!$H$12=Data!$J$4,INDEX('KPI4'!E12:P12,COUNT(E12:P12)),IF('O4'!$H$12=Data!$J$2,SUM('KPI4'!E12:P12),IF('O4'!$H$12=Data!$J$3,AVERAGEIF(E12:P12,"&lt;&gt;",E12:P12)))),0))</f>
        <v>0.54999999999999993</v>
      </c>
      <c r="T12" s="93" t="str">
        <f>'O4'!G12</f>
        <v>↑</v>
      </c>
      <c r="U12" s="93"/>
    </row>
    <row r="13" spans="1:21" ht="22" customHeight="1">
      <c r="A13" s="288"/>
      <c r="B13" s="499"/>
      <c r="C13" s="500"/>
      <c r="D13" s="401" t="str">
        <f>IF(B12="","",Lan!$F$58)</f>
        <v>Meta</v>
      </c>
      <c r="E13" s="95">
        <v>0.05</v>
      </c>
      <c r="F13" s="95">
        <v>0.05</v>
      </c>
      <c r="G13" s="95">
        <v>0.05</v>
      </c>
      <c r="H13" s="95">
        <v>0.05</v>
      </c>
      <c r="I13" s="95">
        <v>0.05</v>
      </c>
      <c r="J13" s="95">
        <v>0.05</v>
      </c>
      <c r="K13" s="95">
        <v>0.05</v>
      </c>
      <c r="L13" s="95">
        <v>0.05</v>
      </c>
      <c r="M13" s="95">
        <v>0.05</v>
      </c>
      <c r="N13" s="95">
        <v>0.05</v>
      </c>
      <c r="O13" s="95">
        <v>0.05</v>
      </c>
      <c r="P13" s="95">
        <v>0.05</v>
      </c>
      <c r="Q13" s="401">
        <f>IF(B12="","",IFERROR(IF('O4'!$H$12=Data!$J$4,T13,IF('O4'!$H$12=Data!$J$2,SUMIF('KPI4'!E12:P12,"&lt;&gt;",E13:P13),IF('O4'!$H$12=Data!$J$3,AVERAGEIF(E13:P13,"&lt;&gt;",E13:P13)))),0))</f>
        <v>0.6</v>
      </c>
      <c r="R13" s="403">
        <f t="array" ref="R13">IF(B12="","",IFERROR(IF('O4'!$H$12=Data!$J$4,INDEX('KPI4'!E13:P13,COUNT(E13:P13)),IF('O4'!$H$12=Data!$J$2,SUM('KPI4'!E13:P13),IF('O4'!$H$12=Data!$J$3,AVERAGE(E13:P13)))),0))</f>
        <v>0.6</v>
      </c>
      <c r="T13" s="93">
        <f>IF(P12&lt;&gt;"",P13,IF(O12&lt;&gt;"",O13,IF(N12&lt;&gt;"",N13,IF(M12&lt;&gt;"",M13,IF(L12&lt;&gt;"",L13,IF(K12&lt;&gt;"",K13,IF(J12&lt;&gt;"",J13,IF(I12&lt;&gt;"",I13,IF(H12&lt;&gt;"",H13,IF(G12&lt;&gt;"",G13,IF(F12&lt;&gt;"",F13,IF(E12&lt;&gt;"",E13,0))))))))))))</f>
        <v>0.05</v>
      </c>
      <c r="U13" s="93"/>
    </row>
    <row r="14" spans="1:21" s="309" customFormat="1" ht="22" customHeight="1" thickBot="1">
      <c r="B14" s="505"/>
      <c r="C14" s="506"/>
      <c r="D14" s="214" t="str">
        <f>IF(B12="","","%")</f>
        <v>%</v>
      </c>
      <c r="E14" s="215">
        <f t="shared" ref="E14:R14" si="0">IFERROR(IF($B12="","",E12/E13),"")</f>
        <v>0.79999999999999993</v>
      </c>
      <c r="F14" s="215">
        <f t="shared" si="0"/>
        <v>1</v>
      </c>
      <c r="G14" s="215">
        <f t="shared" si="0"/>
        <v>1.2</v>
      </c>
      <c r="H14" s="215">
        <f t="shared" si="0"/>
        <v>0.79999999999999993</v>
      </c>
      <c r="I14" s="215">
        <f t="shared" si="0"/>
        <v>0.79999999999999993</v>
      </c>
      <c r="J14" s="215">
        <f t="shared" si="0"/>
        <v>0.79999999999999993</v>
      </c>
      <c r="K14" s="215">
        <f t="shared" si="0"/>
        <v>0.79999999999999993</v>
      </c>
      <c r="L14" s="215">
        <f t="shared" si="0"/>
        <v>0.79999999999999993</v>
      </c>
      <c r="M14" s="215">
        <f t="shared" si="0"/>
        <v>1.2</v>
      </c>
      <c r="N14" s="215">
        <f t="shared" si="0"/>
        <v>0.89999999999999991</v>
      </c>
      <c r="O14" s="215">
        <f t="shared" si="0"/>
        <v>0.89999999999999991</v>
      </c>
      <c r="P14" s="215">
        <f t="shared" si="0"/>
        <v>1</v>
      </c>
      <c r="Q14" s="215">
        <f t="shared" si="0"/>
        <v>0.91666666666666663</v>
      </c>
      <c r="R14" s="215">
        <f t="shared" si="0"/>
        <v>0.91666666666666663</v>
      </c>
      <c r="T14" s="416"/>
      <c r="U14" s="416"/>
    </row>
    <row r="15" spans="1:21" ht="22" customHeight="1">
      <c r="A15" s="288"/>
      <c r="B15" s="497" t="str">
        <f>IF('O4'!B13="","",'O4'!B13)</f>
        <v>Reducir en 50% las devoluciones por defectos en producto para diciembre de 2025.</v>
      </c>
      <c r="C15" s="498"/>
      <c r="D15" s="400" t="str">
        <f>IF(B15="","",Lan!$F$57)</f>
        <v>Actual</v>
      </c>
      <c r="E15" s="94">
        <v>1.7999999999999999E-2</v>
      </c>
      <c r="F15" s="94">
        <v>1.9E-2</v>
      </c>
      <c r="G15" s="94">
        <v>1.4999999999999999E-2</v>
      </c>
      <c r="H15" s="94">
        <v>1.7999999999999999E-2</v>
      </c>
      <c r="I15" s="94">
        <v>1.4999999999999999E-2</v>
      </c>
      <c r="J15" s="94">
        <v>1.4999999999999999E-2</v>
      </c>
      <c r="K15" s="94">
        <v>2.1000000000000001E-2</v>
      </c>
      <c r="L15" s="94">
        <v>1.4999999999999999E-2</v>
      </c>
      <c r="M15" s="94">
        <v>1.7999999999999999E-2</v>
      </c>
      <c r="N15" s="94">
        <v>1.7999999999999999E-2</v>
      </c>
      <c r="O15" s="94">
        <v>2.5000000000000001E-2</v>
      </c>
      <c r="P15" s="94">
        <v>2.5000000000000001E-2</v>
      </c>
      <c r="Q15" s="402">
        <f t="array" ref="Q15">IF(B15="","",IFERROR(IF('O4'!$H$13=Data!$J$4,INDEX('KPI4'!E15:P15,COUNT(E15:P15)),IF('O4'!$H$13=Data!$J$2,SUM('KPI4'!E15:P15),IF('O4'!$H$13=Data!$J$3,AVERAGEIF(E15:P15,"&lt;&gt;",E15:P15)))),0))</f>
        <v>2.5000000000000001E-2</v>
      </c>
      <c r="R15" s="402">
        <f t="array" ref="R15">IF(B15="","",IFERROR(IF('O4'!$H$13=Data!$J$4,INDEX('KPI4'!E15:P15,COUNT(E15:P15)),IF('O4'!$H$13=Data!$J$2,SUM('KPI4'!E15:P15),IF('O4'!$H$13=Data!$J$3,AVERAGEIF(E15:P15,"&lt;&gt;",E15:P15)))),0))</f>
        <v>2.5000000000000001E-2</v>
      </c>
      <c r="T15" s="93" t="str">
        <f>'O4'!G13</f>
        <v>↓</v>
      </c>
      <c r="U15" s="93"/>
    </row>
    <row r="16" spans="1:21" ht="22" customHeight="1">
      <c r="A16" s="288"/>
      <c r="B16" s="499"/>
      <c r="C16" s="500"/>
      <c r="D16" s="401" t="str">
        <f>IF(B15="","",Lan!$F$58)</f>
        <v>Meta</v>
      </c>
      <c r="E16" s="95">
        <v>0.02</v>
      </c>
      <c r="F16" s="95">
        <v>0.02</v>
      </c>
      <c r="G16" s="95">
        <v>0.02</v>
      </c>
      <c r="H16" s="95">
        <v>0.02</v>
      </c>
      <c r="I16" s="95">
        <v>0.02</v>
      </c>
      <c r="J16" s="95">
        <v>0.02</v>
      </c>
      <c r="K16" s="95">
        <v>0.02</v>
      </c>
      <c r="L16" s="95">
        <v>0.02</v>
      </c>
      <c r="M16" s="95">
        <v>0.02</v>
      </c>
      <c r="N16" s="95">
        <v>0.02</v>
      </c>
      <c r="O16" s="95">
        <v>0.02</v>
      </c>
      <c r="P16" s="95">
        <v>0.02</v>
      </c>
      <c r="Q16" s="401">
        <f>IF(B15="","",IFERROR(IF('O4'!$H$13=Data!$J$4,T16,IF('O4'!$H$13=Data!$J$2,SUMIF('KPI4'!E15:P15,"&lt;&gt;",E16:P16),IF('O4'!$H$13=Data!$J$3,AVERAGEIF(E16:P16,"&lt;&gt;",E16:P16)))),0))</f>
        <v>0.02</v>
      </c>
      <c r="R16" s="403">
        <f t="array" ref="R16">IF(B15="","",IFERROR(IF('O4'!$H$13=Data!$J$4,INDEX('KPI4'!E16:P16,COUNT(E16:P16)),IF('O4'!$H$13=Data!$J$2,SUM('KPI4'!E16:P16),IF('O4'!$H$13=Data!$J$3,AVERAGE(E16:P16)))),0))</f>
        <v>0.02</v>
      </c>
      <c r="T16" s="93">
        <f>IF(P15&lt;&gt;"",P16,IF(O15&lt;&gt;"",O16,IF(N15&lt;&gt;"",N16,IF(M15&lt;&gt;"",M16,IF(L15&lt;&gt;"",L16,IF(K15&lt;&gt;"",K16,IF(J15&lt;&gt;"",J16,IF(I15&lt;&gt;"",I16,IF(H15&lt;&gt;"",H16,IF(G15&lt;&gt;"",G16,IF(F15&lt;&gt;"",F16,IF(E15&lt;&gt;"",E16,0))))))))))))</f>
        <v>0.02</v>
      </c>
      <c r="U16" s="93"/>
    </row>
    <row r="17" spans="1:21" s="309" customFormat="1" ht="22" customHeight="1" thickBot="1">
      <c r="B17" s="505"/>
      <c r="C17" s="506"/>
      <c r="D17" s="214" t="str">
        <f>IF(B15="","","%")</f>
        <v>%</v>
      </c>
      <c r="E17" s="215">
        <f t="shared" ref="E17:R17" si="1">IFERROR(IF($B15="","",E15/E16),"")</f>
        <v>0.89999999999999991</v>
      </c>
      <c r="F17" s="215">
        <f t="shared" si="1"/>
        <v>0.95</v>
      </c>
      <c r="G17" s="215">
        <f t="shared" si="1"/>
        <v>0.75</v>
      </c>
      <c r="H17" s="215">
        <f t="shared" si="1"/>
        <v>0.89999999999999991</v>
      </c>
      <c r="I17" s="215">
        <f t="shared" si="1"/>
        <v>0.75</v>
      </c>
      <c r="J17" s="215">
        <f t="shared" si="1"/>
        <v>0.75</v>
      </c>
      <c r="K17" s="215">
        <f t="shared" si="1"/>
        <v>1.05</v>
      </c>
      <c r="L17" s="215">
        <f t="shared" si="1"/>
        <v>0.75</v>
      </c>
      <c r="M17" s="215">
        <f t="shared" si="1"/>
        <v>0.89999999999999991</v>
      </c>
      <c r="N17" s="215">
        <f t="shared" si="1"/>
        <v>0.89999999999999991</v>
      </c>
      <c r="O17" s="215">
        <f t="shared" si="1"/>
        <v>1.25</v>
      </c>
      <c r="P17" s="215">
        <f t="shared" si="1"/>
        <v>1.25</v>
      </c>
      <c r="Q17" s="215">
        <f t="shared" si="1"/>
        <v>1.25</v>
      </c>
      <c r="R17" s="215">
        <f t="shared" si="1"/>
        <v>1.25</v>
      </c>
      <c r="T17" s="416"/>
      <c r="U17" s="416"/>
    </row>
    <row r="18" spans="1:21" ht="22" customHeight="1">
      <c r="A18" s="288"/>
      <c r="B18" s="497" t="str">
        <f>IF('O4'!B14="","",'O4'!B14)</f>
        <v/>
      </c>
      <c r="C18" s="498"/>
      <c r="D18" s="400" t="str">
        <f>IF(B18="","",Lan!$F$57)</f>
        <v/>
      </c>
      <c r="E18" s="94"/>
      <c r="F18" s="94"/>
      <c r="G18" s="94"/>
      <c r="H18" s="94"/>
      <c r="I18" s="94"/>
      <c r="J18" s="94"/>
      <c r="K18" s="94"/>
      <c r="L18" s="94"/>
      <c r="M18" s="94"/>
      <c r="N18" s="94"/>
      <c r="O18" s="94"/>
      <c r="P18" s="94"/>
      <c r="Q18" s="402" t="str">
        <f t="array" ref="Q18">IF(B18="","",IFERROR(IF('O4'!$H$14=Data!$J$4,INDEX('KPI4'!E18:P18,COUNT(E18:P18)),IF('O4'!$H$14=Data!$J$2,SUM('KPI4'!E18:P18),IF('O4'!$H$14=Data!$J$3,AVERAGEIF(E18:P18,"&lt;&gt;",E18:P18)))),0))</f>
        <v/>
      </c>
      <c r="R18" s="402" t="str">
        <f t="array" ref="R18">IF(B18="","",IFERROR(IF('O4'!$H$14=Data!$J$4,INDEX('KPI4'!E18:P18,COUNT(E18:P18)),IF('O4'!$H$14=Data!$J$2,SUM('KPI4'!E18:P18),IF('O4'!$H$14=Data!$J$3,AVERAGEIF(E18:P18,"&lt;&gt;",E18:P18)))),0))</f>
        <v/>
      </c>
      <c r="T18" s="93">
        <f>'O4'!G14</f>
        <v>0</v>
      </c>
      <c r="U18" s="93"/>
    </row>
    <row r="19" spans="1:21" ht="22" customHeight="1">
      <c r="A19" s="288"/>
      <c r="B19" s="499"/>
      <c r="C19" s="500"/>
      <c r="D19" s="401" t="str">
        <f>IF(B18="","",Lan!$F$58)</f>
        <v/>
      </c>
      <c r="E19" s="95"/>
      <c r="F19" s="95"/>
      <c r="G19" s="95"/>
      <c r="H19" s="95"/>
      <c r="I19" s="95"/>
      <c r="J19" s="95"/>
      <c r="K19" s="95"/>
      <c r="L19" s="95"/>
      <c r="M19" s="95"/>
      <c r="N19" s="95"/>
      <c r="O19" s="95"/>
      <c r="P19" s="95"/>
      <c r="Q19" s="401" t="str">
        <f>IF(B18="","",IFERROR(IF('O4'!$H$14=Data!$J$4,T19,IF('O4'!$H$14=Data!$J$2,SUMIF('KPI4'!E18:P18,"&lt;&gt;",E19:P19),IF('O4'!$H$14=Data!$J$3,AVERAGEIF(E19:P19,"&lt;&gt;",E19:P19)))),0))</f>
        <v/>
      </c>
      <c r="R19" s="403" t="str">
        <f t="array" ref="R19">IF(B18="","",IFERROR(IF('O4'!$H$14=Data!$J$4,INDEX('KPI4'!E19:P19,COUNT(E19:P19)),IF('O4'!$H$14=Data!$J$2,SUM('KPI4'!E19:P19),IF('O4'!$H$14=Data!$J$3,AVERAGE(E19:P19)))),0))</f>
        <v/>
      </c>
      <c r="T19" s="93">
        <f>IF(P18&lt;&gt;"",P19,IF(O18&lt;&gt;"",O19,IF(N18&lt;&gt;"",N19,IF(M18&lt;&gt;"",M19,IF(L18&lt;&gt;"",L19,IF(K18&lt;&gt;"",K19,IF(J18&lt;&gt;"",J19,IF(I18&lt;&gt;"",I19,IF(H18&lt;&gt;"",H19,IF(G18&lt;&gt;"",G19,IF(F18&lt;&gt;"",F19,IF(E18&lt;&gt;"",E19,0))))))))))))</f>
        <v>0</v>
      </c>
      <c r="U19" s="93"/>
    </row>
    <row r="20" spans="1:21" s="309" customFormat="1" ht="22" customHeight="1" thickBot="1">
      <c r="B20" s="505"/>
      <c r="C20" s="506"/>
      <c r="D20" s="214" t="str">
        <f>IF(B18="","","%")</f>
        <v/>
      </c>
      <c r="E20" s="215" t="str">
        <f t="shared" ref="E20:R20" si="2">IFERROR(IF($B18="","",E18/E19),"")</f>
        <v/>
      </c>
      <c r="F20" s="215" t="str">
        <f t="shared" si="2"/>
        <v/>
      </c>
      <c r="G20" s="215" t="str">
        <f t="shared" si="2"/>
        <v/>
      </c>
      <c r="H20" s="215" t="str">
        <f t="shared" si="2"/>
        <v/>
      </c>
      <c r="I20" s="215" t="str">
        <f t="shared" si="2"/>
        <v/>
      </c>
      <c r="J20" s="215" t="str">
        <f t="shared" si="2"/>
        <v/>
      </c>
      <c r="K20" s="215" t="str">
        <f t="shared" si="2"/>
        <v/>
      </c>
      <c r="L20" s="215" t="str">
        <f t="shared" si="2"/>
        <v/>
      </c>
      <c r="M20" s="215" t="str">
        <f t="shared" si="2"/>
        <v/>
      </c>
      <c r="N20" s="215" t="str">
        <f t="shared" si="2"/>
        <v/>
      </c>
      <c r="O20" s="215" t="str">
        <f t="shared" si="2"/>
        <v/>
      </c>
      <c r="P20" s="215" t="str">
        <f t="shared" si="2"/>
        <v/>
      </c>
      <c r="Q20" s="215" t="str">
        <f t="shared" si="2"/>
        <v/>
      </c>
      <c r="R20" s="215" t="str">
        <f t="shared" si="2"/>
        <v/>
      </c>
      <c r="T20" s="416"/>
      <c r="U20" s="416"/>
    </row>
    <row r="21" spans="1:21" ht="22" customHeight="1">
      <c r="A21" s="288"/>
      <c r="B21" s="497" t="str">
        <f>IF('O4'!B15="","",'O4'!B15)</f>
        <v/>
      </c>
      <c r="C21" s="498"/>
      <c r="D21" s="400" t="str">
        <f>IF(B21="","",Lan!$F$57)</f>
        <v/>
      </c>
      <c r="E21" s="94"/>
      <c r="F21" s="94"/>
      <c r="G21" s="94"/>
      <c r="H21" s="94"/>
      <c r="I21" s="94"/>
      <c r="J21" s="94"/>
      <c r="K21" s="94"/>
      <c r="L21" s="94"/>
      <c r="M21" s="94"/>
      <c r="N21" s="94"/>
      <c r="O21" s="94"/>
      <c r="P21" s="94"/>
      <c r="Q21" s="402" t="str">
        <f t="array" ref="Q21">IF(B21="","",IFERROR(IF('O4'!$H$15=Data!$J$4,INDEX('KPI4'!E21:P21,COUNT(E21:P21)),IF('O4'!$H$15=Data!$J$2,SUM('KPI4'!E21:P21),IF('O4'!$H$15=Data!$J$3,AVERAGEIF(E21:P21,"&lt;&gt;",E21:P21)))),0))</f>
        <v/>
      </c>
      <c r="R21" s="402" t="str">
        <f t="array" ref="R21">IF(B21="","",IFERROR(IF('O4'!$H$15=Data!$J$4,INDEX('KPI4'!E21:P21,COUNT(E21:P21)),IF('O4'!$H$15=Data!$J$2,SUM('KPI4'!E21:P21),IF('O4'!$H$15=Data!$J$3,AVERAGEIF(E21:P21,"&lt;&gt;",E21:P21)))),0))</f>
        <v/>
      </c>
      <c r="T21" s="93">
        <f>'O4'!G15</f>
        <v>0</v>
      </c>
      <c r="U21" s="93"/>
    </row>
    <row r="22" spans="1:21" ht="22" customHeight="1">
      <c r="A22" s="288"/>
      <c r="B22" s="499"/>
      <c r="C22" s="500"/>
      <c r="D22" s="401" t="str">
        <f>IF(B21="","",Lan!$F$58)</f>
        <v/>
      </c>
      <c r="E22" s="95"/>
      <c r="F22" s="95"/>
      <c r="G22" s="95"/>
      <c r="H22" s="95"/>
      <c r="I22" s="95"/>
      <c r="J22" s="95"/>
      <c r="K22" s="95"/>
      <c r="L22" s="95"/>
      <c r="M22" s="95"/>
      <c r="N22" s="95"/>
      <c r="O22" s="95"/>
      <c r="P22" s="95"/>
      <c r="Q22" s="401" t="str">
        <f>IF(B21="","",IFERROR(IF('O4'!$H$15=Data!$J$4,T22,IF('O4'!$H$15=Data!$J$2,SUMIF('KPI4'!E21:P21,"&lt;&gt;",E22:P22),IF('O4'!$H$15=Data!$J$3,AVERAGEIF(E22:P22,"&lt;&gt;",E22:P22)))),0))</f>
        <v/>
      </c>
      <c r="R22" s="403" t="str">
        <f t="array" ref="R22">IF(B21="","",IFERROR(IF('O4'!$H$15=Data!$J$4,INDEX('KPI4'!E22:P22,COUNT(E22:P22)),IF('O4'!$H$15=Data!$J$2,SUM('KPI4'!E22:P22),IF('O4'!$H$15=Data!$J$3,AVERAGE(E22:P22)))),0))</f>
        <v/>
      </c>
      <c r="T22" s="93">
        <f>IF(P21&lt;&gt;"",P22,IF(O21&lt;&gt;"",O22,IF(N21&lt;&gt;"",N22,IF(M21&lt;&gt;"",M22,IF(L21&lt;&gt;"",L22,IF(K21&lt;&gt;"",K22,IF(J21&lt;&gt;"",J22,IF(I21&lt;&gt;"",I22,IF(H21&lt;&gt;"",H22,IF(G21&lt;&gt;"",G22,IF(F21&lt;&gt;"",F22,IF(E21&lt;&gt;"",E22,0))))))))))))</f>
        <v>0</v>
      </c>
      <c r="U22" s="93"/>
    </row>
    <row r="23" spans="1:21" s="309" customFormat="1" ht="22" customHeight="1" thickBot="1">
      <c r="B23" s="501"/>
      <c r="C23" s="502"/>
      <c r="D23" s="216" t="str">
        <f>IF(B21="","","%")</f>
        <v/>
      </c>
      <c r="E23" s="215" t="str">
        <f t="shared" ref="E23:R23" si="3">IFERROR(IF($B21="","",E21/E22),"")</f>
        <v/>
      </c>
      <c r="F23" s="215" t="str">
        <f t="shared" si="3"/>
        <v/>
      </c>
      <c r="G23" s="215" t="str">
        <f t="shared" si="3"/>
        <v/>
      </c>
      <c r="H23" s="215" t="str">
        <f t="shared" si="3"/>
        <v/>
      </c>
      <c r="I23" s="215" t="str">
        <f t="shared" si="3"/>
        <v/>
      </c>
      <c r="J23" s="215" t="str">
        <f t="shared" si="3"/>
        <v/>
      </c>
      <c r="K23" s="215" t="str">
        <f t="shared" si="3"/>
        <v/>
      </c>
      <c r="L23" s="215" t="str">
        <f t="shared" si="3"/>
        <v/>
      </c>
      <c r="M23" s="215" t="str">
        <f t="shared" si="3"/>
        <v/>
      </c>
      <c r="N23" s="215" t="str">
        <f t="shared" si="3"/>
        <v/>
      </c>
      <c r="O23" s="215" t="str">
        <f t="shared" si="3"/>
        <v/>
      </c>
      <c r="P23" s="215" t="str">
        <f t="shared" si="3"/>
        <v/>
      </c>
      <c r="Q23" s="215" t="str">
        <f t="shared" si="3"/>
        <v/>
      </c>
      <c r="R23" s="215" t="str">
        <f t="shared" si="3"/>
        <v/>
      </c>
      <c r="T23" s="416"/>
      <c r="U23" s="416"/>
    </row>
    <row r="24" spans="1:21" ht="22" customHeight="1">
      <c r="A24" s="288"/>
      <c r="B24" s="497" t="str">
        <f>IF('O4'!B16="","",'O4'!B16)</f>
        <v/>
      </c>
      <c r="C24" s="498"/>
      <c r="D24" s="400" t="str">
        <f>IF(B24="","",Lan!$F$57)</f>
        <v/>
      </c>
      <c r="E24" s="94"/>
      <c r="F24" s="94"/>
      <c r="G24" s="94"/>
      <c r="H24" s="94"/>
      <c r="I24" s="94"/>
      <c r="J24" s="94"/>
      <c r="K24" s="94"/>
      <c r="L24" s="94"/>
      <c r="M24" s="94"/>
      <c r="N24" s="94"/>
      <c r="O24" s="94"/>
      <c r="P24" s="94"/>
      <c r="Q24" s="402" t="str">
        <f t="array" ref="Q24">IF(B24="","",IFERROR(IF('O4'!$H$16=Data!$J$4,INDEX('KPI4'!E24:P24,COUNT(E24:P24)),IF('O4'!$H$16=Data!$J$2,SUM('KPI4'!E24:P24),IF('O4'!$H$16=Data!$J$3,AVERAGEIF(E24:P24,"&lt;&gt;",E24:P24)))),0))</f>
        <v/>
      </c>
      <c r="R24" s="402" t="str">
        <f t="array" ref="R24">IF(B24="","",IFERROR(IF('O4'!$H$16=Data!$J$4,INDEX('KPI4'!E24:P24,COUNT(E24:P24)),IF('O4'!$H$16=Data!$J$2,SUM('KPI4'!E24:P24),IF('O4'!$H$16=Data!$J$3,AVERAGEIF(E24:P24,"&lt;&gt;",E24:P24)))),0))</f>
        <v/>
      </c>
      <c r="T24" s="93">
        <f>'O4'!G16</f>
        <v>0</v>
      </c>
      <c r="U24" s="93"/>
    </row>
    <row r="25" spans="1:21" ht="22" customHeight="1">
      <c r="A25" s="288"/>
      <c r="B25" s="499"/>
      <c r="C25" s="500"/>
      <c r="D25" s="401" t="str">
        <f>IF(B24="","",Lan!$F$58)</f>
        <v/>
      </c>
      <c r="E25" s="95"/>
      <c r="F25" s="95"/>
      <c r="G25" s="95"/>
      <c r="H25" s="95"/>
      <c r="I25" s="95"/>
      <c r="J25" s="95"/>
      <c r="K25" s="95"/>
      <c r="L25" s="95"/>
      <c r="M25" s="95"/>
      <c r="N25" s="95"/>
      <c r="O25" s="95"/>
      <c r="P25" s="95"/>
      <c r="Q25" s="401" t="str">
        <f>IF(B24="","",IFERROR(IF('O4'!$H$16=Data!$J$4,T25,IF('O4'!$H$16=Data!$J$2,SUMIF('KPI4'!E24:P24,"&lt;&gt;",E25:P25),IF('O4'!$H$16=Data!$J$3,AVERAGEIF(E25:P25,"&lt;&gt;",E25:P25)))),0))</f>
        <v/>
      </c>
      <c r="R25" s="403" t="str">
        <f t="array" ref="R25">IF(B24="","",IFERROR(IF('O4'!$H$16=Data!$J$4,INDEX('KPI4'!E25:P25,COUNT(E25:P25)),IF('O4'!$H$16=Data!$J$2,SUM('KPI4'!E25:P25),IF('O4'!$H$16=Data!$J$3,AVERAGE(E25:P25)))),0))</f>
        <v/>
      </c>
      <c r="T25" s="93">
        <f>IF(P24&lt;&gt;"",P25,IF(O24&lt;&gt;"",O25,IF(N24&lt;&gt;"",N25,IF(M24&lt;&gt;"",M25,IF(L24&lt;&gt;"",L25,IF(K24&lt;&gt;"",K25,IF(J24&lt;&gt;"",J25,IF(I24&lt;&gt;"",I25,IF(H24&lt;&gt;"",H25,IF(G24&lt;&gt;"",G25,IF(F24&lt;&gt;"",F25,IF(E24&lt;&gt;"",E25,0))))))))))))</f>
        <v>0</v>
      </c>
      <c r="U25" s="93"/>
    </row>
    <row r="26" spans="1:21" s="309" customFormat="1" ht="22" customHeight="1" thickBot="1">
      <c r="B26" s="501"/>
      <c r="C26" s="502"/>
      <c r="D26" s="216" t="str">
        <f>IF(B24="","","%")</f>
        <v/>
      </c>
      <c r="E26" s="215" t="str">
        <f t="shared" ref="E26:R26" si="4">IFERROR(IF($B24="","",E24/E25),"")</f>
        <v/>
      </c>
      <c r="F26" s="215" t="str">
        <f t="shared" si="4"/>
        <v/>
      </c>
      <c r="G26" s="215" t="str">
        <f t="shared" si="4"/>
        <v/>
      </c>
      <c r="H26" s="215" t="str">
        <f t="shared" si="4"/>
        <v/>
      </c>
      <c r="I26" s="215" t="str">
        <f t="shared" si="4"/>
        <v/>
      </c>
      <c r="J26" s="215" t="str">
        <f t="shared" si="4"/>
        <v/>
      </c>
      <c r="K26" s="215" t="str">
        <f t="shared" si="4"/>
        <v/>
      </c>
      <c r="L26" s="215" t="str">
        <f t="shared" si="4"/>
        <v/>
      </c>
      <c r="M26" s="215" t="str">
        <f t="shared" si="4"/>
        <v/>
      </c>
      <c r="N26" s="215" t="str">
        <f t="shared" si="4"/>
        <v/>
      </c>
      <c r="O26" s="215" t="str">
        <f t="shared" si="4"/>
        <v/>
      </c>
      <c r="P26" s="215" t="str">
        <f t="shared" si="4"/>
        <v/>
      </c>
      <c r="Q26" s="215" t="str">
        <f t="shared" si="4"/>
        <v/>
      </c>
      <c r="R26" s="215" t="str">
        <f t="shared" si="4"/>
        <v/>
      </c>
      <c r="T26" s="416"/>
      <c r="U26" s="416"/>
    </row>
    <row r="27" spans="1:21" ht="22" customHeight="1">
      <c r="A27" s="288"/>
      <c r="B27" s="497" t="str">
        <f>IF('O4'!B17="","",'O4'!B17)</f>
        <v/>
      </c>
      <c r="C27" s="498"/>
      <c r="D27" s="400" t="str">
        <f>IF(B27="","",Lan!$F$57)</f>
        <v/>
      </c>
      <c r="E27" s="94"/>
      <c r="F27" s="94"/>
      <c r="G27" s="94"/>
      <c r="H27" s="94"/>
      <c r="I27" s="94"/>
      <c r="J27" s="94"/>
      <c r="K27" s="94"/>
      <c r="L27" s="94"/>
      <c r="M27" s="94"/>
      <c r="N27" s="94"/>
      <c r="O27" s="94"/>
      <c r="P27" s="94"/>
      <c r="Q27" s="402" t="str">
        <f t="array" ref="Q27">IF(B27="","",IFERROR(IF('O4'!$H$17=Data!$J$4,INDEX('KPI4'!E27:P27,COUNT(E27:P27)),IF('O4'!$H$17=Data!$J$2,SUM('KPI4'!E27:P27),IF('O4'!$H$17=Data!$J$3,AVERAGEIF(E27:P27,"&lt;&gt;",E27:P27)))),0))</f>
        <v/>
      </c>
      <c r="R27" s="402" t="str">
        <f t="array" ref="R27">IF(B27="","",IFERROR(IF('O4'!$H$17=Data!$J$4,INDEX('KPI4'!E27:P27,COUNT(E27:P27)),IF('O4'!$H$17=Data!$J$2,SUM('KPI4'!E27:P27),IF('O4'!$H$17=Data!$J$3,AVERAGEIF(E27:P27,"&lt;&gt;",E27:P27)))),0))</f>
        <v/>
      </c>
      <c r="T27" s="93">
        <f>'O4'!G17</f>
        <v>0</v>
      </c>
      <c r="U27" s="93"/>
    </row>
    <row r="28" spans="1:21" ht="22" customHeight="1">
      <c r="A28" s="288"/>
      <c r="B28" s="499"/>
      <c r="C28" s="500"/>
      <c r="D28" s="401" t="str">
        <f>IF(B27="","",Lan!$F$58)</f>
        <v/>
      </c>
      <c r="E28" s="95"/>
      <c r="F28" s="95"/>
      <c r="G28" s="95"/>
      <c r="H28" s="95"/>
      <c r="I28" s="95"/>
      <c r="J28" s="95"/>
      <c r="K28" s="95"/>
      <c r="L28" s="95"/>
      <c r="M28" s="95"/>
      <c r="N28" s="95"/>
      <c r="O28" s="95"/>
      <c r="P28" s="95"/>
      <c r="Q28" s="401" t="str">
        <f>IF(B27="","",IFERROR(IF('O4'!$H$17=Data!$J$4,T28,IF('O4'!$H$17=Data!$J$2,SUMIF('KPI4'!E27:P27,"&lt;&gt;",E28:P28),IF('O4'!$H$17=Data!$J$3,AVERAGEIF(E28:P28,"&lt;&gt;",E28:P28)))),0))</f>
        <v/>
      </c>
      <c r="R28" s="403" t="str">
        <f t="array" ref="R28">IF(B27="","",IFERROR(IF('O4'!$H$17=Data!$J$4,INDEX('KPI4'!E28:P28,COUNT(E28:P28)),IF('O4'!$H$17=Data!$J$2,SUM('KPI4'!E28:P28),IF('O4'!$H$17=Data!$J$3,AVERAGE(E28:P28)))),0))</f>
        <v/>
      </c>
      <c r="T28" s="93">
        <f>IF(P27&lt;&gt;"",P28,IF(O27&lt;&gt;"",O28,IF(N27&lt;&gt;"",N28,IF(M27&lt;&gt;"",M28,IF(L27&lt;&gt;"",L28,IF(K27&lt;&gt;"",K28,IF(J27&lt;&gt;"",J28,IF(I27&lt;&gt;"",I28,IF(H27&lt;&gt;"",H28,IF(G27&lt;&gt;"",G28,IF(F27&lt;&gt;"",F28,IF(E27&lt;&gt;"",E28,0))))))))))))</f>
        <v>0</v>
      </c>
      <c r="U28" s="93"/>
    </row>
    <row r="29" spans="1:21" s="309" customFormat="1" ht="22" customHeight="1" thickBot="1">
      <c r="B29" s="501"/>
      <c r="C29" s="502"/>
      <c r="D29" s="216" t="str">
        <f>IF(B27="","","%")</f>
        <v/>
      </c>
      <c r="E29" s="215" t="str">
        <f t="shared" ref="E29:R29" si="5">IFERROR(IF($B27="","",E27/E28),"")</f>
        <v/>
      </c>
      <c r="F29" s="215" t="str">
        <f t="shared" si="5"/>
        <v/>
      </c>
      <c r="G29" s="215" t="str">
        <f t="shared" si="5"/>
        <v/>
      </c>
      <c r="H29" s="215" t="str">
        <f t="shared" si="5"/>
        <v/>
      </c>
      <c r="I29" s="215" t="str">
        <f t="shared" si="5"/>
        <v/>
      </c>
      <c r="J29" s="215" t="str">
        <f t="shared" si="5"/>
        <v/>
      </c>
      <c r="K29" s="215" t="str">
        <f t="shared" si="5"/>
        <v/>
      </c>
      <c r="L29" s="215" t="str">
        <f t="shared" si="5"/>
        <v/>
      </c>
      <c r="M29" s="215" t="str">
        <f t="shared" si="5"/>
        <v/>
      </c>
      <c r="N29" s="215" t="str">
        <f t="shared" si="5"/>
        <v/>
      </c>
      <c r="O29" s="215" t="str">
        <f t="shared" si="5"/>
        <v/>
      </c>
      <c r="P29" s="215" t="str">
        <f t="shared" si="5"/>
        <v/>
      </c>
      <c r="Q29" s="215" t="str">
        <f t="shared" si="5"/>
        <v/>
      </c>
      <c r="R29" s="215" t="str">
        <f t="shared" si="5"/>
        <v/>
      </c>
      <c r="T29" s="416"/>
      <c r="U29" s="416"/>
    </row>
    <row r="30" spans="1:21" ht="22" customHeight="1">
      <c r="A30" s="288"/>
      <c r="B30" s="497" t="str">
        <f>IF('O4'!B18="","",'O4'!B18)</f>
        <v/>
      </c>
      <c r="C30" s="498"/>
      <c r="D30" s="400" t="str">
        <f>IF(B30="","",Lan!$F$57)</f>
        <v/>
      </c>
      <c r="E30" s="94"/>
      <c r="F30" s="94"/>
      <c r="G30" s="94"/>
      <c r="H30" s="94"/>
      <c r="I30" s="94"/>
      <c r="J30" s="94"/>
      <c r="K30" s="94"/>
      <c r="L30" s="94"/>
      <c r="M30" s="94"/>
      <c r="N30" s="94"/>
      <c r="O30" s="94"/>
      <c r="P30" s="94"/>
      <c r="Q30" s="402" t="str">
        <f t="array" ref="Q30">IF(B30="","",IFERROR(IF('O4'!$H$18=Data!$J$4,INDEX('KPI4'!E30:P30,COUNT(E30:P30)),IF('O4'!$H$18=Data!$J$2,SUM('KPI4'!E30:P30),IF('O4'!$H$18=Data!$J$3,AVERAGEIF(E30:P30,"&lt;&gt;",E30:P30)))),0))</f>
        <v/>
      </c>
      <c r="R30" s="402" t="str">
        <f t="array" ref="R30">IF(B30="","",IFERROR(IF('O4'!$H$18=Data!$J$4,INDEX('KPI4'!E30:P30,COUNT(E30:P30)),IF('O4'!$H$18=Data!$J$2,SUM('KPI4'!E30:P30),IF('O4'!$H$18=Data!$J$3,AVERAGEIF(E30:P30,"&lt;&gt;",E30:P30)))),0))</f>
        <v/>
      </c>
      <c r="T30" s="93">
        <f>'O4'!G18</f>
        <v>0</v>
      </c>
      <c r="U30" s="93"/>
    </row>
    <row r="31" spans="1:21" ht="22" customHeight="1">
      <c r="A31" s="288"/>
      <c r="B31" s="499"/>
      <c r="C31" s="500"/>
      <c r="D31" s="401" t="str">
        <f>IF(B30="","",Lan!$F$58)</f>
        <v/>
      </c>
      <c r="E31" s="95"/>
      <c r="F31" s="95"/>
      <c r="G31" s="95"/>
      <c r="H31" s="95"/>
      <c r="I31" s="95"/>
      <c r="J31" s="95"/>
      <c r="K31" s="95"/>
      <c r="L31" s="95"/>
      <c r="M31" s="95"/>
      <c r="N31" s="95"/>
      <c r="O31" s="95"/>
      <c r="P31" s="95"/>
      <c r="Q31" s="401" t="str">
        <f>IF(B30="","",IFERROR(IF('O4'!$H$18=Data!$J$4,T31,IF('O4'!$H$18=Data!$J$2,SUMIF('KPI4'!E30:P30,"&lt;&gt;",E31:P31),IF('O4'!$H$18=Data!$J$3,AVERAGEIF(E31:P31,"&lt;&gt;",E31:P31)))),0))</f>
        <v/>
      </c>
      <c r="R31" s="403" t="str">
        <f t="array" ref="R31">IF(B30="","",IFERROR(IF('O4'!$H$18=Data!$J$4,INDEX('KPI4'!E31:P31,COUNT(E31:P31)),IF('O4'!$H$18=Data!$J$2,SUM('KPI4'!E31:P31),IF('O4'!$H$18=Data!$J$3,AVERAGE(E31:P31)))),0))</f>
        <v/>
      </c>
      <c r="T31" s="93">
        <f>IF(P30&lt;&gt;"",P31,IF(O30&lt;&gt;"",O31,IF(N30&lt;&gt;"",N31,IF(M30&lt;&gt;"",M31,IF(L30&lt;&gt;"",L31,IF(K30&lt;&gt;"",K31,IF(J30&lt;&gt;"",J31,IF(I30&lt;&gt;"",I31,IF(H30&lt;&gt;"",H31,IF(G30&lt;&gt;"",G31,IF(F30&lt;&gt;"",F31,IF(E30&lt;&gt;"",E31,0))))))))))))</f>
        <v>0</v>
      </c>
      <c r="U31" s="93"/>
    </row>
    <row r="32" spans="1:21" s="309" customFormat="1" ht="22" customHeight="1" thickBot="1">
      <c r="B32" s="501"/>
      <c r="C32" s="502"/>
      <c r="D32" s="216" t="str">
        <f>IF(B30="","","%")</f>
        <v/>
      </c>
      <c r="E32" s="215" t="str">
        <f t="shared" ref="E32:R32" si="6">IFERROR(IF($B30="","",E30/E31),"")</f>
        <v/>
      </c>
      <c r="F32" s="215" t="str">
        <f t="shared" si="6"/>
        <v/>
      </c>
      <c r="G32" s="215" t="str">
        <f t="shared" si="6"/>
        <v/>
      </c>
      <c r="H32" s="215" t="str">
        <f t="shared" si="6"/>
        <v/>
      </c>
      <c r="I32" s="215" t="str">
        <f t="shared" si="6"/>
        <v/>
      </c>
      <c r="J32" s="215" t="str">
        <f t="shared" si="6"/>
        <v/>
      </c>
      <c r="K32" s="215" t="str">
        <f t="shared" si="6"/>
        <v/>
      </c>
      <c r="L32" s="215" t="str">
        <f t="shared" si="6"/>
        <v/>
      </c>
      <c r="M32" s="215" t="str">
        <f t="shared" si="6"/>
        <v/>
      </c>
      <c r="N32" s="215" t="str">
        <f t="shared" si="6"/>
        <v/>
      </c>
      <c r="O32" s="215" t="str">
        <f t="shared" si="6"/>
        <v/>
      </c>
      <c r="P32" s="215" t="str">
        <f t="shared" si="6"/>
        <v/>
      </c>
      <c r="Q32" s="215" t="str">
        <f t="shared" si="6"/>
        <v/>
      </c>
      <c r="R32" s="215" t="str">
        <f t="shared" si="6"/>
        <v/>
      </c>
      <c r="T32" s="416"/>
      <c r="U32" s="416"/>
    </row>
    <row r="33" spans="1:21" ht="22" customHeight="1">
      <c r="A33" s="288"/>
      <c r="B33" s="497" t="str">
        <f>IF('O4'!B19="","",'O4'!B19)</f>
        <v/>
      </c>
      <c r="C33" s="498"/>
      <c r="D33" s="400" t="str">
        <f>IF(B33="","",Lan!$F$57)</f>
        <v/>
      </c>
      <c r="E33" s="94"/>
      <c r="F33" s="94"/>
      <c r="G33" s="94"/>
      <c r="H33" s="94"/>
      <c r="I33" s="94"/>
      <c r="J33" s="94"/>
      <c r="K33" s="94"/>
      <c r="L33" s="94"/>
      <c r="M33" s="94"/>
      <c r="N33" s="94"/>
      <c r="O33" s="94"/>
      <c r="P33" s="94"/>
      <c r="Q33" s="402" t="str">
        <f t="array" ref="Q33">IF(B33="","",IFERROR(IF('O4'!$H$19=Data!$J$4,INDEX('KPI4'!E33:P33,COUNT(E33:P33)),IF('O4'!$H$19=Data!$J$2,SUM('KPI4'!E33:P33),IF('O4'!$H$19=Data!$J$3,AVERAGEIF(E33:P33,"&lt;&gt;",E33:P33)))),0))</f>
        <v/>
      </c>
      <c r="R33" s="402" t="str">
        <f t="array" ref="R33">IF(B33="","",IFERROR(IF('O4'!$H$19=Data!$J$4,INDEX('KPI4'!E33:P33,COUNT(E33:P33)),IF('O4'!$H$19=Data!$J$2,SUM('KPI4'!E33:P33),IF('O4'!$H$19=Data!$J$3,AVERAGEIF(E33:P33,"&lt;&gt;",E33:P33)))),0))</f>
        <v/>
      </c>
      <c r="T33" s="93">
        <f>'O4'!G19</f>
        <v>0</v>
      </c>
      <c r="U33" s="93"/>
    </row>
    <row r="34" spans="1:21" ht="22" customHeight="1">
      <c r="A34" s="288"/>
      <c r="B34" s="499"/>
      <c r="C34" s="500"/>
      <c r="D34" s="401" t="str">
        <f>IF(B33="","",Lan!$F$58)</f>
        <v/>
      </c>
      <c r="E34" s="95"/>
      <c r="F34" s="95"/>
      <c r="G34" s="95"/>
      <c r="H34" s="95"/>
      <c r="I34" s="95"/>
      <c r="J34" s="95"/>
      <c r="K34" s="95"/>
      <c r="L34" s="95"/>
      <c r="M34" s="95"/>
      <c r="N34" s="95"/>
      <c r="O34" s="95"/>
      <c r="P34" s="95"/>
      <c r="Q34" s="401" t="str">
        <f>IF(B33="","",IFERROR(IF('O4'!$H$19=Data!$J$4,T34,IF('O4'!$H$19=Data!$J$2,SUMIF('KPI4'!E33:P33,"&lt;&gt;",E34:P34),IF('O4'!$H$19=Data!$J$3,AVERAGEIF(E34:P34,"&lt;&gt;",E34:P34)))),0))</f>
        <v/>
      </c>
      <c r="R34" s="403" t="str">
        <f t="array" ref="R34">IF(B33="","",IFERROR(IF('O4'!$H$19=Data!$J$4,INDEX('KPI4'!E34:P34,COUNT(E34:P34)),IF('O4'!$H$19=Data!$J$2,SUM('KPI4'!E34:P34),IF('O4'!$H$19=Data!$J$3,AVERAGE(E34:P34)))),0))</f>
        <v/>
      </c>
      <c r="T34" s="93">
        <f>IF(P33&lt;&gt;"",P34,IF(O33&lt;&gt;"",O34,IF(N33&lt;&gt;"",N34,IF(M33&lt;&gt;"",M34,IF(L33&lt;&gt;"",L34,IF(K33&lt;&gt;"",K34,IF(J33&lt;&gt;"",J34,IF(I33&lt;&gt;"",I34,IF(H33&lt;&gt;"",H34,IF(G33&lt;&gt;"",G34,IF(F33&lt;&gt;"",F34,IF(E33&lt;&gt;"",E34,0))))))))))))</f>
        <v>0</v>
      </c>
      <c r="U34" s="93"/>
    </row>
    <row r="35" spans="1:21" s="309" customFormat="1" ht="22" customHeight="1" thickBot="1">
      <c r="B35" s="501"/>
      <c r="C35" s="502"/>
      <c r="D35" s="216" t="str">
        <f>IF(B33="","","%")</f>
        <v/>
      </c>
      <c r="E35" s="215" t="str">
        <f t="shared" ref="E35:R35" si="7">IFERROR(IF($B33="","",E33/E34),"")</f>
        <v/>
      </c>
      <c r="F35" s="215" t="str">
        <f t="shared" si="7"/>
        <v/>
      </c>
      <c r="G35" s="215" t="str">
        <f t="shared" si="7"/>
        <v/>
      </c>
      <c r="H35" s="215" t="str">
        <f t="shared" si="7"/>
        <v/>
      </c>
      <c r="I35" s="215" t="str">
        <f t="shared" si="7"/>
        <v/>
      </c>
      <c r="J35" s="215" t="str">
        <f t="shared" si="7"/>
        <v/>
      </c>
      <c r="K35" s="215" t="str">
        <f t="shared" si="7"/>
        <v/>
      </c>
      <c r="L35" s="215" t="str">
        <f t="shared" si="7"/>
        <v/>
      </c>
      <c r="M35" s="215" t="str">
        <f t="shared" si="7"/>
        <v/>
      </c>
      <c r="N35" s="215" t="str">
        <f t="shared" si="7"/>
        <v/>
      </c>
      <c r="O35" s="215" t="str">
        <f t="shared" si="7"/>
        <v/>
      </c>
      <c r="P35" s="215" t="str">
        <f t="shared" si="7"/>
        <v/>
      </c>
      <c r="Q35" s="215" t="str">
        <f t="shared" si="7"/>
        <v/>
      </c>
      <c r="R35" s="215" t="str">
        <f t="shared" si="7"/>
        <v/>
      </c>
      <c r="T35" s="416"/>
      <c r="U35" s="416"/>
    </row>
    <row r="36" spans="1:21" ht="22" customHeight="1">
      <c r="A36" s="288"/>
      <c r="B36" s="497" t="str">
        <f>IF('O4'!B20="","",'O4'!B20)</f>
        <v/>
      </c>
      <c r="C36" s="498"/>
      <c r="D36" s="400" t="str">
        <f>IF(B36="","",Lan!$F$57)</f>
        <v/>
      </c>
      <c r="E36" s="94"/>
      <c r="F36" s="94"/>
      <c r="G36" s="94"/>
      <c r="H36" s="94"/>
      <c r="I36" s="94"/>
      <c r="J36" s="94"/>
      <c r="K36" s="94"/>
      <c r="L36" s="94"/>
      <c r="M36" s="94"/>
      <c r="N36" s="94"/>
      <c r="O36" s="94"/>
      <c r="P36" s="94"/>
      <c r="Q36" s="402" t="str">
        <f t="array" ref="Q36">IF(B36="","",IFERROR(IF('O4'!$H$20=Data!$J$4,INDEX('KPI4'!E36:P36,COUNT(E36:P36)),IF('O4'!$H$20=Data!$J$2,SUM('KPI4'!E36:P36),IF('O4'!$H$20=Data!$J$3,AVERAGEIF(E36:P36,"&lt;&gt;",E36:P36)))),0))</f>
        <v/>
      </c>
      <c r="R36" s="402" t="str">
        <f t="array" ref="R36">IF(B36="","",IFERROR(IF('O4'!$H$20=Data!$J$4,INDEX('KPI4'!E36:P36,COUNT(E36:P36)),IF('O4'!$H$20=Data!$J$2,SUM('KPI4'!E36:P36),IF('O4'!$H$20=Data!$J$3,AVERAGEIF(E36:P36,"&lt;&gt;",E36:P36)))),0))</f>
        <v/>
      </c>
      <c r="T36" s="93">
        <f>'O4'!G20</f>
        <v>0</v>
      </c>
      <c r="U36" s="93"/>
    </row>
    <row r="37" spans="1:21" ht="22" customHeight="1">
      <c r="A37" s="288"/>
      <c r="B37" s="499"/>
      <c r="C37" s="500"/>
      <c r="D37" s="401" t="str">
        <f>IF(B36="","",Lan!$F$58)</f>
        <v/>
      </c>
      <c r="E37" s="95"/>
      <c r="F37" s="95"/>
      <c r="G37" s="95"/>
      <c r="H37" s="95"/>
      <c r="I37" s="95"/>
      <c r="J37" s="95"/>
      <c r="K37" s="95"/>
      <c r="L37" s="95"/>
      <c r="M37" s="95"/>
      <c r="N37" s="95"/>
      <c r="O37" s="95"/>
      <c r="P37" s="95"/>
      <c r="Q37" s="401" t="str">
        <f>IF(B36="","",IFERROR(IF('O4'!$H$20=Data!$J$4,T37,IF('O4'!$H$20=Data!$J$2,SUMIF('KPI4'!E36:P36,"&lt;&gt;",E37:P37),IF('O4'!$H$20=Data!$J$3,AVERAGEIF(E37:P37,"&lt;&gt;",E37:P37)))),0))</f>
        <v/>
      </c>
      <c r="R37" s="403" t="str">
        <f t="array" ref="R37">IF(B36="","",IFERROR(IF('O4'!$H$20=Data!$J$4,INDEX('KPI4'!E37:P37,COUNT(E37:P37)),IF('O4'!$H$20=Data!$J$2,SUM('KPI4'!E37:P37),IF('O4'!$H$20=Data!$J$3,AVERAGE(E37:P37)))),0))</f>
        <v/>
      </c>
      <c r="T37" s="93">
        <f>IF(P36&lt;&gt;"",P37,IF(O36&lt;&gt;"",O37,IF(N36&lt;&gt;"",N37,IF(M36&lt;&gt;"",M37,IF(L36&lt;&gt;"",L37,IF(K36&lt;&gt;"",K37,IF(J36&lt;&gt;"",J37,IF(I36&lt;&gt;"",I37,IF(H36&lt;&gt;"",H37,IF(G36&lt;&gt;"",G37,IF(F36&lt;&gt;"",F37,IF(E36&lt;&gt;"",E37,0))))))))))))</f>
        <v>0</v>
      </c>
      <c r="U37" s="93"/>
    </row>
    <row r="38" spans="1:21" s="309" customFormat="1" ht="22" customHeight="1" thickBot="1">
      <c r="B38" s="501"/>
      <c r="C38" s="502"/>
      <c r="D38" s="216" t="str">
        <f>IF(B36="","","%")</f>
        <v/>
      </c>
      <c r="E38" s="215" t="str">
        <f t="shared" ref="E38:R38" si="8">IFERROR(IF($B36="","",E36/E37),"")</f>
        <v/>
      </c>
      <c r="F38" s="215" t="str">
        <f t="shared" si="8"/>
        <v/>
      </c>
      <c r="G38" s="215" t="str">
        <f t="shared" si="8"/>
        <v/>
      </c>
      <c r="H38" s="215" t="str">
        <f t="shared" si="8"/>
        <v/>
      </c>
      <c r="I38" s="215" t="str">
        <f t="shared" si="8"/>
        <v/>
      </c>
      <c r="J38" s="215" t="str">
        <f t="shared" si="8"/>
        <v/>
      </c>
      <c r="K38" s="215" t="str">
        <f t="shared" si="8"/>
        <v/>
      </c>
      <c r="L38" s="215" t="str">
        <f t="shared" si="8"/>
        <v/>
      </c>
      <c r="M38" s="215" t="str">
        <f t="shared" si="8"/>
        <v/>
      </c>
      <c r="N38" s="215" t="str">
        <f t="shared" si="8"/>
        <v/>
      </c>
      <c r="O38" s="215" t="str">
        <f t="shared" si="8"/>
        <v/>
      </c>
      <c r="P38" s="215" t="str">
        <f t="shared" si="8"/>
        <v/>
      </c>
      <c r="Q38" s="215" t="str">
        <f t="shared" si="8"/>
        <v/>
      </c>
      <c r="R38" s="215" t="str">
        <f t="shared" si="8"/>
        <v/>
      </c>
      <c r="T38" s="416"/>
      <c r="U38" s="416"/>
    </row>
    <row r="39" spans="1:21" ht="22" customHeight="1">
      <c r="A39" s="288"/>
      <c r="B39" s="497" t="str">
        <f>IF('O4'!B21="","",'O4'!B21)</f>
        <v/>
      </c>
      <c r="C39" s="498"/>
      <c r="D39" s="400" t="str">
        <f>IF(B39="","",Lan!$F$57)</f>
        <v/>
      </c>
      <c r="E39" s="94"/>
      <c r="F39" s="94"/>
      <c r="G39" s="94"/>
      <c r="H39" s="94"/>
      <c r="I39" s="94"/>
      <c r="J39" s="94"/>
      <c r="K39" s="94"/>
      <c r="L39" s="94"/>
      <c r="M39" s="94"/>
      <c r="N39" s="94"/>
      <c r="O39" s="94"/>
      <c r="P39" s="94"/>
      <c r="Q39" s="402" t="str">
        <f t="array" ref="Q39">IF(B39="","",IFERROR(IF('O4'!$H$21=Data!$J$4,INDEX('KPI4'!E39:P39,COUNT(E39:P39)),IF('O4'!$H$21=Data!$J$2,SUM('KPI4'!E39:P39),IF('O4'!$H$21=Data!$J$3,AVERAGEIF(E39:P39,"&lt;&gt;",E39:P39)))),0))</f>
        <v/>
      </c>
      <c r="R39" s="402" t="str">
        <f t="array" ref="R39">IF(B39="","",IFERROR(IF('O4'!$H$21=Data!$J$4,INDEX('KPI4'!E39:P39,COUNT(E39:P39)),IF('O4'!$H$21=Data!$J$2,SUM('KPI4'!E39:P39),IF('O4'!$H$21=Data!$J$3,AVERAGEIF(E39:P39,"&lt;&gt;",E39:P39)))),0))</f>
        <v/>
      </c>
      <c r="T39" s="93">
        <f>'O4'!G21</f>
        <v>0</v>
      </c>
      <c r="U39" s="93"/>
    </row>
    <row r="40" spans="1:21" ht="22" customHeight="1">
      <c r="A40" s="288"/>
      <c r="B40" s="499"/>
      <c r="C40" s="500"/>
      <c r="D40" s="401" t="str">
        <f>IF(B39="","",Lan!$F$58)</f>
        <v/>
      </c>
      <c r="E40" s="95"/>
      <c r="F40" s="95"/>
      <c r="G40" s="95"/>
      <c r="H40" s="95"/>
      <c r="I40" s="95"/>
      <c r="J40" s="95"/>
      <c r="K40" s="95"/>
      <c r="L40" s="95"/>
      <c r="M40" s="95"/>
      <c r="N40" s="95"/>
      <c r="O40" s="95"/>
      <c r="P40" s="95"/>
      <c r="Q40" s="401" t="str">
        <f>IF(B39="","",IFERROR(IF('O4'!$H$21=Data!$J$4,T40,IF('O4'!$H$21=Data!$J$2,SUMIF('KPI4'!E39:P39,"&lt;&gt;",E40:P40),IF('O4'!$H$21=Data!$J$3,AVERAGEIF(E40:P40,"&lt;&gt;",E40:P40)))),0))</f>
        <v/>
      </c>
      <c r="R40" s="403" t="str">
        <f t="array" ref="R40">IF(B39="","",IFERROR(IF('O4'!$H$21=Data!$J$4,INDEX('KPI4'!E40:P40,COUNT(E40:P40)),IF('O4'!$H$21=Data!$J$2,SUM('KPI4'!E40:P40),IF('O4'!$H$21=Data!$J$3,AVERAGE(E40:P40)))),0))</f>
        <v/>
      </c>
      <c r="T40" s="93">
        <f>IF(P39&lt;&gt;"",P40,IF(O39&lt;&gt;"",O40,IF(N39&lt;&gt;"",N40,IF(M39&lt;&gt;"",M40,IF(L39&lt;&gt;"",L40,IF(K39&lt;&gt;"",K40,IF(J39&lt;&gt;"",J40,IF(I39&lt;&gt;"",I40,IF(H39&lt;&gt;"",H40,IF(G39&lt;&gt;"",G40,IF(F39&lt;&gt;"",F40,IF(E39&lt;&gt;"",E40,0))))))))))))</f>
        <v>0</v>
      </c>
      <c r="U40" s="93"/>
    </row>
    <row r="41" spans="1:21" s="309" customFormat="1" ht="22" customHeight="1" thickBot="1">
      <c r="B41" s="501"/>
      <c r="C41" s="502"/>
      <c r="D41" s="216" t="str">
        <f>IF(B39="","","%")</f>
        <v/>
      </c>
      <c r="E41" s="217" t="str">
        <f t="shared" ref="E41:R41" si="9">IFERROR(IF($B39="","",E39/E40),"")</f>
        <v/>
      </c>
      <c r="F41" s="217" t="str">
        <f t="shared" si="9"/>
        <v/>
      </c>
      <c r="G41" s="217" t="str">
        <f t="shared" si="9"/>
        <v/>
      </c>
      <c r="H41" s="217" t="str">
        <f t="shared" si="9"/>
        <v/>
      </c>
      <c r="I41" s="217" t="str">
        <f t="shared" si="9"/>
        <v/>
      </c>
      <c r="J41" s="217" t="str">
        <f t="shared" si="9"/>
        <v/>
      </c>
      <c r="K41" s="217" t="str">
        <f t="shared" si="9"/>
        <v/>
      </c>
      <c r="L41" s="217" t="str">
        <f t="shared" si="9"/>
        <v/>
      </c>
      <c r="M41" s="217" t="str">
        <f t="shared" si="9"/>
        <v/>
      </c>
      <c r="N41" s="217" t="str">
        <f t="shared" si="9"/>
        <v/>
      </c>
      <c r="O41" s="217" t="str">
        <f t="shared" si="9"/>
        <v/>
      </c>
      <c r="P41" s="217" t="str">
        <f t="shared" si="9"/>
        <v/>
      </c>
      <c r="Q41" s="217" t="str">
        <f t="shared" si="9"/>
        <v/>
      </c>
      <c r="R41" s="217" t="str">
        <f t="shared" si="9"/>
        <v/>
      </c>
      <c r="T41" s="416"/>
      <c r="U41" s="416"/>
    </row>
    <row r="42" spans="1:21" ht="21" customHeight="1">
      <c r="A42" s="288"/>
      <c r="B42" s="299"/>
      <c r="C42" s="288"/>
      <c r="D42" s="288"/>
      <c r="E42" s="288"/>
      <c r="F42" s="288"/>
      <c r="G42" s="288"/>
      <c r="H42" s="288"/>
    </row>
    <row r="43" spans="1:21" ht="21" customHeight="1">
      <c r="A43" s="288"/>
      <c r="B43" s="299"/>
      <c r="C43" s="288"/>
      <c r="D43" s="288"/>
      <c r="E43" s="288"/>
      <c r="F43" s="288"/>
      <c r="G43" s="288"/>
      <c r="H43" s="288"/>
    </row>
    <row r="44" spans="1:21" ht="21" customHeight="1">
      <c r="A44" s="288"/>
      <c r="B44" s="299"/>
      <c r="C44" s="288"/>
      <c r="D44" s="288"/>
      <c r="E44" s="288"/>
      <c r="F44" s="288"/>
      <c r="G44" s="288"/>
      <c r="H44" s="288"/>
    </row>
    <row r="45" spans="1:21" ht="21" customHeight="1">
      <c r="A45" s="288"/>
      <c r="B45" s="299"/>
      <c r="C45" s="288"/>
      <c r="D45" s="288"/>
      <c r="E45" s="288"/>
      <c r="F45" s="288"/>
      <c r="G45" s="288"/>
      <c r="H45" s="288"/>
    </row>
    <row r="46" spans="1:21" ht="21" customHeight="1">
      <c r="A46" s="288"/>
      <c r="B46" s="299"/>
      <c r="C46" s="288"/>
      <c r="D46" s="288"/>
      <c r="E46" s="288"/>
      <c r="F46" s="288"/>
      <c r="G46" s="288"/>
      <c r="H46" s="288"/>
    </row>
    <row r="47" spans="1:21" ht="20" customHeight="1">
      <c r="A47" s="288"/>
      <c r="B47" s="299"/>
      <c r="C47" s="288"/>
      <c r="D47" s="288"/>
      <c r="E47" s="288"/>
      <c r="F47" s="288"/>
      <c r="G47" s="288"/>
      <c r="H47" s="288"/>
    </row>
    <row r="48" spans="1:21" ht="20" customHeight="1">
      <c r="A48" s="288"/>
      <c r="B48" s="299"/>
      <c r="C48" s="288"/>
      <c r="D48" s="288"/>
      <c r="E48" s="288"/>
      <c r="F48" s="288"/>
      <c r="G48" s="288"/>
      <c r="H48" s="288"/>
    </row>
    <row r="49" spans="1:8" ht="20" customHeight="1">
      <c r="A49" s="288"/>
      <c r="B49" s="299"/>
      <c r="C49" s="288"/>
      <c r="D49" s="288"/>
      <c r="E49" s="288"/>
      <c r="F49" s="288"/>
      <c r="G49" s="288"/>
      <c r="H49" s="288"/>
    </row>
    <row r="50" spans="1:8" ht="20" customHeight="1">
      <c r="A50" s="288"/>
      <c r="B50" s="299"/>
      <c r="C50" s="288"/>
      <c r="D50" s="288"/>
      <c r="E50" s="288"/>
      <c r="F50" s="288"/>
      <c r="G50" s="288"/>
      <c r="H50" s="288"/>
    </row>
    <row r="51" spans="1:8" ht="20" customHeight="1">
      <c r="A51" s="288"/>
      <c r="B51" s="299"/>
      <c r="C51" s="288"/>
      <c r="D51" s="288"/>
      <c r="E51" s="288"/>
      <c r="F51" s="288"/>
      <c r="G51" s="288"/>
      <c r="H51" s="288"/>
    </row>
    <row r="52" spans="1:8" ht="20" customHeight="1">
      <c r="A52" s="288"/>
      <c r="B52" s="299"/>
      <c r="C52" s="288"/>
      <c r="D52" s="288"/>
      <c r="E52" s="288"/>
      <c r="F52" s="288"/>
      <c r="G52" s="288"/>
      <c r="H52" s="288"/>
    </row>
    <row r="53" spans="1:8" ht="20" customHeight="1">
      <c r="A53" s="288"/>
      <c r="B53" s="299"/>
      <c r="C53" s="288"/>
      <c r="D53" s="288"/>
      <c r="E53" s="288"/>
      <c r="F53" s="288"/>
      <c r="G53" s="288"/>
      <c r="H53" s="288"/>
    </row>
    <row r="54" spans="1:8" ht="20" customHeight="1">
      <c r="A54" s="288"/>
      <c r="B54" s="300"/>
      <c r="C54" s="288"/>
      <c r="D54" s="288"/>
      <c r="E54" s="288"/>
      <c r="F54" s="288"/>
      <c r="G54" s="288"/>
      <c r="H54" s="288"/>
    </row>
    <row r="55" spans="1:8" ht="20" customHeight="1"/>
    <row r="56" spans="1:8" ht="20" customHeight="1"/>
    <row r="57" spans="1:8" ht="20" customHeight="1"/>
    <row r="58" spans="1:8" ht="20" customHeight="1"/>
    <row r="59" spans="1:8" ht="20" customHeight="1"/>
    <row r="60" spans="1:8" ht="20" customHeight="1"/>
    <row r="61" spans="1:8" ht="20" customHeight="1"/>
    <row r="62" spans="1:8" ht="20" customHeight="1"/>
    <row r="63" spans="1:8" ht="20" customHeight="1"/>
    <row r="64" spans="1:8"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s="290" customFormat="1" ht="20" customHeight="1"/>
    <row r="82" s="290" customFormat="1" ht="20" customHeight="1"/>
    <row r="83" s="290" customFormat="1" ht="20" customHeight="1"/>
    <row r="84" s="290" customFormat="1" ht="20" customHeight="1"/>
    <row r="85" s="290" customFormat="1" ht="20" customHeight="1"/>
    <row r="86" s="290" customFormat="1" ht="20" customHeight="1"/>
    <row r="87" s="290" customFormat="1" ht="20" customHeight="1"/>
  </sheetData>
  <sheetProtection formatCells="0" formatColumns="0" formatRows="0" selectLockedCells="1" sort="0" autoFilter="0" pivotTables="0"/>
  <mergeCells count="11">
    <mergeCell ref="B18:C20"/>
    <mergeCell ref="B11:C11"/>
    <mergeCell ref="B12:C14"/>
    <mergeCell ref="B15:C17"/>
    <mergeCell ref="B39:C41"/>
    <mergeCell ref="B21:C23"/>
    <mergeCell ref="B24:C26"/>
    <mergeCell ref="B27:C29"/>
    <mergeCell ref="B30:C32"/>
    <mergeCell ref="B33:C35"/>
    <mergeCell ref="B36:C38"/>
  </mergeCells>
  <conditionalFormatting sqref="B10:G10">
    <cfRule type="expression" dxfId="665" priority="1">
      <formula>B$10=""</formula>
    </cfRule>
  </conditionalFormatting>
  <conditionalFormatting sqref="B12:R14">
    <cfRule type="expression" dxfId="664" priority="4">
      <formula>$B$12=""</formula>
    </cfRule>
  </conditionalFormatting>
  <conditionalFormatting sqref="B15:R17">
    <cfRule type="expression" dxfId="663" priority="5">
      <formula>$B$15=""</formula>
    </cfRule>
  </conditionalFormatting>
  <conditionalFormatting sqref="B18:R20">
    <cfRule type="expression" dxfId="662" priority="6">
      <formula>$B$18=""</formula>
    </cfRule>
  </conditionalFormatting>
  <conditionalFormatting sqref="B21:R23">
    <cfRule type="expression" dxfId="661" priority="7">
      <formula>$B$21=""</formula>
    </cfRule>
  </conditionalFormatting>
  <conditionalFormatting sqref="B24:R26">
    <cfRule type="expression" dxfId="660" priority="8">
      <formula>$B$24=""</formula>
    </cfRule>
  </conditionalFormatting>
  <conditionalFormatting sqref="B27:R29">
    <cfRule type="expression" dxfId="659" priority="9">
      <formula>$B$27=""</formula>
    </cfRule>
  </conditionalFormatting>
  <conditionalFormatting sqref="B30:R32">
    <cfRule type="expression" dxfId="658" priority="10">
      <formula>$B$30=""</formula>
    </cfRule>
  </conditionalFormatting>
  <conditionalFormatting sqref="B33:R35">
    <cfRule type="expression" dxfId="657" priority="11">
      <formula>$B$33=""</formula>
    </cfRule>
  </conditionalFormatting>
  <conditionalFormatting sqref="B36:R38">
    <cfRule type="expression" dxfId="656" priority="12">
      <formula>$B$36=""</formula>
    </cfRule>
  </conditionalFormatting>
  <conditionalFormatting sqref="B39:R41">
    <cfRule type="expression" dxfId="655" priority="13">
      <formula>$B$39=""</formula>
    </cfRule>
  </conditionalFormatting>
  <conditionalFormatting sqref="E14:R14">
    <cfRule type="expression" dxfId="644" priority="153">
      <formula>AND(E14&lt;$T$8,$T12="↑")</formula>
    </cfRule>
    <cfRule type="expression" dxfId="643" priority="150">
      <formula>AND(E14&lt;=$T$8,$T12="↓")</formula>
    </cfRule>
    <cfRule type="expression" dxfId="642" priority="152">
      <formula>AND(E14&gt;=$T$8,$T12="↑")</formula>
    </cfRule>
    <cfRule type="expression" dxfId="641" priority="151">
      <formula>AND(E14&gt;$T$8,$T12="↓")</formula>
    </cfRule>
  </conditionalFormatting>
  <conditionalFormatting sqref="E17:R17">
    <cfRule type="expression" dxfId="630" priority="149">
      <formula>AND(E17&lt;$T$8,$T15="↑")</formula>
    </cfRule>
    <cfRule type="expression" dxfId="629" priority="148">
      <formula>AND(E17&gt;=$T$8,$T15="↑")</formula>
    </cfRule>
    <cfRule type="expression" dxfId="628" priority="147">
      <formula>AND(E17&gt;$T$8,$T15="↓")</formula>
    </cfRule>
    <cfRule type="expression" dxfId="627" priority="146">
      <formula>AND(E17&lt;=$T$8,$T15="↓")</formula>
    </cfRule>
  </conditionalFormatting>
  <conditionalFormatting sqref="E20:R20">
    <cfRule type="expression" dxfId="616" priority="143">
      <formula>AND(E20&gt;$T$8,$T18="↓")</formula>
    </cfRule>
    <cfRule type="expression" dxfId="615" priority="142">
      <formula>AND(E20&lt;=$T$8,$T18="↓")</formula>
    </cfRule>
    <cfRule type="expression" dxfId="614" priority="145">
      <formula>AND(E20&lt;$T$8,$T18="↑")</formula>
    </cfRule>
    <cfRule type="expression" dxfId="613" priority="144">
      <formula>AND(E20&gt;=$T$8,$T18="↑")</formula>
    </cfRule>
  </conditionalFormatting>
  <conditionalFormatting sqref="E23:R23">
    <cfRule type="expression" dxfId="602" priority="140">
      <formula>AND(E23&gt;=$T$8,$T21="↑")</formula>
    </cfRule>
    <cfRule type="expression" dxfId="601" priority="141">
      <formula>AND(E23&lt;$T$8,$T21="↑")</formula>
    </cfRule>
    <cfRule type="expression" dxfId="600" priority="139">
      <formula>AND(E23&gt;$T$8,$T21="↓")</formula>
    </cfRule>
    <cfRule type="expression" dxfId="599" priority="138">
      <formula>AND(E23&lt;=$T$8,$T21="↓")</formula>
    </cfRule>
  </conditionalFormatting>
  <conditionalFormatting sqref="E26:R26">
    <cfRule type="expression" dxfId="588" priority="135">
      <formula>AND(E26&gt;$T$8,$T24="↓")</formula>
    </cfRule>
    <cfRule type="expression" dxfId="587" priority="134">
      <formula>AND(E26&lt;=$T$8,$T24="↓")</formula>
    </cfRule>
    <cfRule type="expression" dxfId="586" priority="137">
      <formula>AND(E26&lt;$T$8,$T24="↑")</formula>
    </cfRule>
    <cfRule type="expression" dxfId="585" priority="136">
      <formula>AND(E26&gt;=$T$8,$T24="↑")</formula>
    </cfRule>
  </conditionalFormatting>
  <conditionalFormatting sqref="E29:R29">
    <cfRule type="expression" dxfId="574" priority="132">
      <formula>AND(E29&gt;=$T$8,$T27="↑")</formula>
    </cfRule>
    <cfRule type="expression" dxfId="573" priority="130">
      <formula>AND(E29&lt;=$T$8,$T27="↓")</formula>
    </cfRule>
    <cfRule type="expression" dxfId="572" priority="133">
      <formula>AND(E29&lt;$T$8,$T27="↑")</formula>
    </cfRule>
    <cfRule type="expression" dxfId="571" priority="131">
      <formula>AND(E29&gt;$T$8,$T27="↓")</formula>
    </cfRule>
  </conditionalFormatting>
  <conditionalFormatting sqref="E32:R32">
    <cfRule type="expression" dxfId="560" priority="126">
      <formula>AND(E32&lt;=$T$8,$T30="↓")</formula>
    </cfRule>
    <cfRule type="expression" dxfId="559" priority="129">
      <formula>AND(E32&lt;$T$8,$T30="↑")</formula>
    </cfRule>
    <cfRule type="expression" dxfId="558" priority="128">
      <formula>AND(E32&gt;=$T$8,$T30="↑")</formula>
    </cfRule>
    <cfRule type="expression" dxfId="557" priority="127">
      <formula>AND(E32&gt;$T$8,$T30="↓")</formula>
    </cfRule>
  </conditionalFormatting>
  <conditionalFormatting sqref="E35:R35">
    <cfRule type="expression" dxfId="546" priority="122">
      <formula>AND(E35&lt;=$T$8,$T33="↓")</formula>
    </cfRule>
    <cfRule type="expression" dxfId="545" priority="123">
      <formula>AND(E35&gt;$T$8,$T33="↓")</formula>
    </cfRule>
    <cfRule type="expression" dxfId="544" priority="124">
      <formula>AND(E35&gt;=$T$8,$T33="↑")</formula>
    </cfRule>
    <cfRule type="expression" dxfId="543" priority="125">
      <formula>AND(E35&lt;$T$8,$T33="↑")</formula>
    </cfRule>
  </conditionalFormatting>
  <conditionalFormatting sqref="E38:R38">
    <cfRule type="expression" dxfId="532" priority="121">
      <formula>AND(E38&lt;$T$8,$T36="↑")</formula>
    </cfRule>
    <cfRule type="expression" dxfId="531" priority="120">
      <formula>AND(E38&gt;=$T$8,$T36="↑")</formula>
    </cfRule>
    <cfRule type="expression" dxfId="530" priority="119">
      <formula>AND(E38&gt;$T$8,$T36="↓")</formula>
    </cfRule>
    <cfRule type="expression" dxfId="529" priority="118">
      <formula>AND(E38&lt;=$T$8,$T36="↓")</formula>
    </cfRule>
  </conditionalFormatting>
  <conditionalFormatting sqref="E41:R41">
    <cfRule type="expression" dxfId="518" priority="114">
      <formula>AND(E41&lt;=$T$8,$T39="↓")</formula>
    </cfRule>
    <cfRule type="expression" dxfId="517" priority="115">
      <formula>AND(E41&gt;$T$8,$T39="↓")</formula>
    </cfRule>
    <cfRule type="expression" dxfId="516" priority="116">
      <formula>AND(E41&gt;=$T$8,$T39="↑")</formula>
    </cfRule>
    <cfRule type="expression" dxfId="515" priority="117">
      <formula>AND(E41&lt;$T$8,$T39="↑")</formula>
    </cfRule>
  </conditionalFormatting>
  <hyperlinks>
    <hyperlink ref="B10" location="'KPI1'!A1" display="'KPI1'!A1" xr:uid="{840799DE-FA1A-4BBD-A2C3-55EB0E82DFD7}"/>
    <hyperlink ref="C10" location="'KPI2'!A1" display="'KPI2'!A1" xr:uid="{5573912A-DAEE-4529-80F0-5DD61F900DD8}"/>
    <hyperlink ref="D10" location="'KPI3'!A1" display="'KPI3'!A1" xr:uid="{E4CA45AD-28C6-46D0-B250-2520910B1E55}"/>
    <hyperlink ref="E10" location="'KPI4'!A1" display="'KPI4'!A1" xr:uid="{A89AC610-20B1-4DAC-B124-7720AB24C9BB}"/>
    <hyperlink ref="F10" location="'KPI5'!A1" display="'KPI5'!A1" xr:uid="{AF8A0414-8AE2-4362-828C-166CA578E09C}"/>
    <hyperlink ref="G10" location="'KPI6'!A1" display="'KPI6'!A1" xr:uid="{D9BE88B4-0A0F-455A-A815-7D53F700C94B}"/>
  </hyperlinks>
  <pageMargins left="0.25" right="0.25" top="0.75" bottom="0.75" header="0.3" footer="0.3"/>
  <pageSetup scale="4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13" id="{0916389F-D857-49ED-B458-E3749B11C009}">
            <xm:f>'O4'!$F$12=Data!$H$2</xm:f>
            <x14:dxf>
              <numFmt numFmtId="13" formatCode="0%"/>
            </x14:dxf>
          </x14:cfRule>
          <x14:cfRule type="expression" priority="112" id="{717C13A2-9778-4E89-A532-A48AF40F6955}">
            <xm:f>'O4'!$F$12=Data!$H$3</xm:f>
            <x14:dxf>
              <numFmt numFmtId="165" formatCode="0.0%"/>
            </x14:dxf>
          </x14:cfRule>
          <x14:cfRule type="expression" priority="111" id="{0A0ABF47-B70A-4F7B-8185-5673E24E0182}">
            <xm:f>'O4'!$F$12=Data!$H$4</xm:f>
            <x14:dxf>
              <numFmt numFmtId="3" formatCode="#,##0"/>
            </x14:dxf>
          </x14:cfRule>
          <x14:cfRule type="expression" priority="110" id="{AD01AD7B-23D9-404A-B331-9419B4A1AA6D}">
            <xm:f>'O4'!$F$12=Data!$H$5</xm:f>
            <x14:dxf>
              <numFmt numFmtId="173" formatCode="0.0"/>
            </x14:dxf>
          </x14:cfRule>
          <x14:cfRule type="expression" priority="109" id="{BDD9ECD2-9685-4B2A-8587-A35E5B4BC911}">
            <xm:f>'O4'!$F$12=Data!$H$6</xm:f>
            <x14:dxf>
              <numFmt numFmtId="169" formatCode="#,##0\ &quot;$&quot;"/>
            </x14:dxf>
          </x14:cfRule>
          <x14:cfRule type="expression" priority="108" id="{E67A2D6B-B47E-4B06-8614-E2210BC0FCC6}">
            <xm:f>'O4'!$F$12=Data!$H$7</xm:f>
            <x14:dxf>
              <numFmt numFmtId="168" formatCode="[$$-409]#,##0"/>
            </x14:dxf>
          </x14:cfRule>
          <x14:cfRule type="expression" priority="107" id="{B5EB2874-FA5D-4F6F-A7AA-7C55D19F75EE}">
            <xm:f>'O4'!$F$12=Data!$H$8</xm:f>
            <x14:dxf>
              <numFmt numFmtId="167" formatCode="#,##0\ [$€-1]"/>
            </x14:dxf>
          </x14:cfRule>
          <x14:cfRule type="expression" priority="106" id="{CE1F130F-6DC8-41F7-BC42-AB0DED0F0265}">
            <xm:f>'O4'!$F$12=Data!$H$9</xm:f>
            <x14:dxf>
              <numFmt numFmtId="172" formatCode="[$£-809]#,##0"/>
            </x14:dxf>
          </x14:cfRule>
          <x14:cfRule type="expression" priority="105" id="{976329E5-90BE-4BB7-A2B0-48065493CB7E}">
            <xm:f>'O4'!$F$12=Data!$H$10</xm:f>
            <x14:dxf>
              <numFmt numFmtId="166" formatCode="[$R$-416]\ #,##0"/>
            </x14:dxf>
          </x14:cfRule>
          <x14:cfRule type="expression" priority="104" id="{16AE67AE-1F2F-4EB3-9616-952D914E8614}">
            <xm:f>'O4'!$F$12=Data!$H$11</xm:f>
            <x14:dxf>
              <numFmt numFmtId="171" formatCode="[$-F400]h:mm:ss\ AM/PM"/>
            </x14:dxf>
          </x14:cfRule>
          <xm:sqref>E12:R13</xm:sqref>
        </x14:conditionalFormatting>
        <x14:conditionalFormatting xmlns:xm="http://schemas.microsoft.com/office/excel/2006/main">
          <x14:cfRule type="expression" priority="100" id="{DFB05360-EE59-463A-B9AD-293B61312DC6}">
            <xm:f>'O4'!$F$13=Data!$H$5</xm:f>
            <x14:dxf>
              <numFmt numFmtId="173" formatCode="0.0"/>
            </x14:dxf>
          </x14:cfRule>
          <x14:cfRule type="expression" priority="103" id="{225DFAEE-0272-4811-AF65-1245D869D9DC}">
            <xm:f>'O4'!$F$13=Data!$H$2</xm:f>
            <x14:dxf>
              <numFmt numFmtId="13" formatCode="0%"/>
            </x14:dxf>
          </x14:cfRule>
          <x14:cfRule type="expression" priority="102" id="{22FB84DD-A255-44DE-A477-033A6FEB70EC}">
            <xm:f>'O4'!$F$13=Data!$H$3</xm:f>
            <x14:dxf>
              <numFmt numFmtId="165" formatCode="0.0%"/>
            </x14:dxf>
          </x14:cfRule>
          <x14:cfRule type="expression" priority="101" id="{97C66DF3-3B7A-4848-B410-88D9C7864121}">
            <xm:f>'O4'!$F$13=Data!$H$4</xm:f>
            <x14:dxf>
              <numFmt numFmtId="3" formatCode="#,##0"/>
            </x14:dxf>
          </x14:cfRule>
          <x14:cfRule type="expression" priority="99" id="{F2D47830-822A-4708-9488-910428629C61}">
            <xm:f>'O4'!$F$13=Data!$H$6</xm:f>
            <x14:dxf>
              <numFmt numFmtId="169" formatCode="#,##0\ &quot;$&quot;"/>
            </x14:dxf>
          </x14:cfRule>
          <x14:cfRule type="expression" priority="98" id="{EB7BC7D7-0A79-4C4D-B6B4-A6B311EFFBD8}">
            <xm:f>'O4'!$F$13=Data!$H$7</xm:f>
            <x14:dxf>
              <numFmt numFmtId="168" formatCode="[$$-409]#,##0"/>
            </x14:dxf>
          </x14:cfRule>
          <x14:cfRule type="expression" priority="97" id="{C4A77554-7711-4D00-81D8-621912880B48}">
            <xm:f>'O4'!$F$13=Data!$H$8</xm:f>
            <x14:dxf>
              <numFmt numFmtId="167" formatCode="#,##0\ [$€-1]"/>
            </x14:dxf>
          </x14:cfRule>
          <x14:cfRule type="expression" priority="96" id="{6B98BEAC-3E9D-499A-9F12-0FFE544664A4}">
            <xm:f>'O4'!$F$13=Data!$H$9</xm:f>
            <x14:dxf>
              <numFmt numFmtId="172" formatCode="[$£-809]#,##0"/>
            </x14:dxf>
          </x14:cfRule>
          <x14:cfRule type="expression" priority="94" id="{24AD5CEC-18F7-4D5A-AAA9-5ACD62416526}">
            <xm:f>'O4'!$F$13=Data!$H$11</xm:f>
            <x14:dxf>
              <numFmt numFmtId="171" formatCode="[$-F400]h:mm:ss\ AM/PM"/>
            </x14:dxf>
          </x14:cfRule>
          <x14:cfRule type="expression" priority="95" id="{BD5E9BAC-002E-4461-A655-CEA2A9BA2176}">
            <xm:f>'O4'!$F$13=Data!$H$10</xm:f>
            <x14:dxf>
              <numFmt numFmtId="166" formatCode="[$R$-416]\ #,##0"/>
            </x14:dxf>
          </x14:cfRule>
          <xm:sqref>E15:R16</xm:sqref>
        </x14:conditionalFormatting>
        <x14:conditionalFormatting xmlns:xm="http://schemas.microsoft.com/office/excel/2006/main">
          <x14:cfRule type="expression" priority="90" id="{2995649A-272E-466A-BBDF-F2D88F4D5587}">
            <xm:f>'O4'!$F$14=Data!$H$5</xm:f>
            <x14:dxf>
              <numFmt numFmtId="173" formatCode="0.0"/>
            </x14:dxf>
          </x14:cfRule>
          <x14:cfRule type="expression" priority="88" id="{D4196687-5A17-4C57-AAE6-82B032EC8A6F}">
            <xm:f>'O4'!$F$14=Data!$H$7</xm:f>
            <x14:dxf>
              <numFmt numFmtId="168" formatCode="[$$-409]#,##0"/>
            </x14:dxf>
          </x14:cfRule>
          <x14:cfRule type="expression" priority="93" id="{E388EE84-CD4F-4A9B-8C7B-5D7F26509C32}">
            <xm:f>'O4'!$F$14=Data!$H$2</xm:f>
            <x14:dxf>
              <numFmt numFmtId="13" formatCode="0%"/>
            </x14:dxf>
          </x14:cfRule>
          <x14:cfRule type="expression" priority="92" id="{4F9C1701-BDB9-4D8A-A09C-3F199067B948}">
            <xm:f>'O4'!$F$14=Data!$H$3</xm:f>
            <x14:dxf>
              <numFmt numFmtId="165" formatCode="0.0%"/>
            </x14:dxf>
          </x14:cfRule>
          <x14:cfRule type="expression" priority="91" id="{B9C99D1B-6178-4FD1-8045-97D7E13E8784}">
            <xm:f>'O4'!$F$14=Data!$H$4</xm:f>
            <x14:dxf>
              <numFmt numFmtId="3" formatCode="#,##0"/>
            </x14:dxf>
          </x14:cfRule>
          <x14:cfRule type="expression" priority="89" id="{AB37ED92-77DF-44B4-8E30-B726DDF889B7}">
            <xm:f>'O4'!$F$14=Data!$H$6</xm:f>
            <x14:dxf>
              <numFmt numFmtId="169" formatCode="#,##0\ &quot;$&quot;"/>
            </x14:dxf>
          </x14:cfRule>
          <x14:cfRule type="expression" priority="87" id="{F87B1994-DFCB-4F39-BC14-AC96333EF1CF}">
            <xm:f>'O4'!$F$14=Data!$H$8</xm:f>
            <x14:dxf>
              <numFmt numFmtId="167" formatCode="#,##0\ [$€-1]"/>
            </x14:dxf>
          </x14:cfRule>
          <x14:cfRule type="expression" priority="86" id="{62B9ECC7-8D4A-48B3-B883-018BAE09B62E}">
            <xm:f>'O4'!$F$14=Data!$H$9</xm:f>
            <x14:dxf>
              <numFmt numFmtId="172" formatCode="[$£-809]#,##0"/>
            </x14:dxf>
          </x14:cfRule>
          <x14:cfRule type="expression" priority="85" id="{1A321AA8-DBBF-4C56-A939-7D66FE0B0CED}">
            <xm:f>'O4'!$F$14=Data!$H$10</xm:f>
            <x14:dxf>
              <numFmt numFmtId="166" formatCode="[$R$-416]\ #,##0"/>
            </x14:dxf>
          </x14:cfRule>
          <x14:cfRule type="expression" priority="84" id="{2866572F-D8CA-4CF0-B0F9-C47F329CC000}">
            <xm:f>'O4'!$F$14=Data!$H$11</xm:f>
            <x14:dxf>
              <numFmt numFmtId="171" formatCode="[$-F400]h:mm:ss\ AM/PM"/>
            </x14:dxf>
          </x14:cfRule>
          <xm:sqref>E18:R19</xm:sqref>
        </x14:conditionalFormatting>
        <x14:conditionalFormatting xmlns:xm="http://schemas.microsoft.com/office/excel/2006/main">
          <x14:cfRule type="expression" priority="78" id="{5C96A98B-C8C2-4F26-A436-4219929226B1}">
            <xm:f>'O4'!$F$15=Data!$H$7</xm:f>
            <x14:dxf>
              <numFmt numFmtId="168" formatCode="[$$-409]#,##0"/>
            </x14:dxf>
          </x14:cfRule>
          <x14:cfRule type="expression" priority="74" id="{069B6DFC-5A50-4461-9CBB-B7B22656E045}">
            <xm:f>'O4'!$F$15=Data!$H$11</xm:f>
            <x14:dxf>
              <numFmt numFmtId="171" formatCode="[$-F400]h:mm:ss\ AM/PM"/>
            </x14:dxf>
          </x14:cfRule>
          <x14:cfRule type="expression" priority="79" id="{7D2A4F5C-388A-4CF3-9C07-247A6B467F96}">
            <xm:f>'O4'!$F$15=Data!$H$6</xm:f>
            <x14:dxf>
              <numFmt numFmtId="169" formatCode="#,##0\ &quot;$&quot;"/>
            </x14:dxf>
          </x14:cfRule>
          <x14:cfRule type="expression" priority="77" id="{9414AD11-E9BC-4DB7-BC5C-C79F3AEFB9E6}">
            <xm:f>'O4'!$F$15=Data!$H$8</xm:f>
            <x14:dxf>
              <numFmt numFmtId="167" formatCode="#,##0\ [$€-1]"/>
            </x14:dxf>
          </x14:cfRule>
          <x14:cfRule type="expression" priority="83" id="{7BD18422-1C2A-4BA8-85C9-5282C1B129F3}">
            <xm:f>'O4'!$F$15=Data!$H$2</xm:f>
            <x14:dxf>
              <numFmt numFmtId="13" formatCode="0%"/>
            </x14:dxf>
          </x14:cfRule>
          <x14:cfRule type="expression" priority="82" id="{C56E28DB-4041-4952-ACDD-D118BE2C217D}">
            <xm:f>'O4'!$F$15=Data!$H$3</xm:f>
            <x14:dxf>
              <numFmt numFmtId="165" formatCode="0.0%"/>
            </x14:dxf>
          </x14:cfRule>
          <x14:cfRule type="expression" priority="81" id="{BF7B7456-8738-4FE3-8E15-0E6CB44D04F8}">
            <xm:f>'O4'!$F$15=Data!$H$4</xm:f>
            <x14:dxf>
              <numFmt numFmtId="3" formatCode="#,##0"/>
            </x14:dxf>
          </x14:cfRule>
          <x14:cfRule type="expression" priority="80" id="{0F4678D5-528B-4938-8D03-710F6D4DFC61}">
            <xm:f>'O4'!$F$15=Data!$H$5</xm:f>
            <x14:dxf>
              <numFmt numFmtId="173" formatCode="0.0"/>
            </x14:dxf>
          </x14:cfRule>
          <x14:cfRule type="expression" priority="76" id="{BED77902-C267-4B6D-9F81-43C7956F0223}">
            <xm:f>'O4'!$F$15=Data!$H$9</xm:f>
            <x14:dxf>
              <numFmt numFmtId="172" formatCode="[$£-809]#,##0"/>
            </x14:dxf>
          </x14:cfRule>
          <x14:cfRule type="expression" priority="75" id="{F878ECED-16DD-4CCC-807A-A4303D0EF1DF}">
            <xm:f>'O4'!$F$15=Data!$H$10</xm:f>
            <x14:dxf>
              <numFmt numFmtId="166" formatCode="[$R$-416]\ #,##0"/>
            </x14:dxf>
          </x14:cfRule>
          <xm:sqref>E21:R22</xm:sqref>
        </x14:conditionalFormatting>
        <x14:conditionalFormatting xmlns:xm="http://schemas.microsoft.com/office/excel/2006/main">
          <x14:cfRule type="expression" priority="67" id="{76EC39AB-FF3B-43A9-BE7F-4B7BA7A6A029}">
            <xm:f>'O4'!$F$16=Data!$H$8</xm:f>
            <x14:dxf>
              <numFmt numFmtId="167" formatCode="#,##0\ [$€-1]"/>
            </x14:dxf>
          </x14:cfRule>
          <x14:cfRule type="expression" priority="72" id="{E563CA1F-2E8F-476E-B471-EEE4E88D5CA0}">
            <xm:f>'O4'!$F$16=Data!$H$3</xm:f>
            <x14:dxf>
              <numFmt numFmtId="165" formatCode="0.0%"/>
            </x14:dxf>
          </x14:cfRule>
          <x14:cfRule type="expression" priority="73" id="{ADF9747C-EFE2-4811-8E9B-93AF8C8D5D58}">
            <xm:f>'O4'!$F$16=Data!$H$2</xm:f>
            <x14:dxf>
              <numFmt numFmtId="13" formatCode="0%"/>
            </x14:dxf>
          </x14:cfRule>
          <x14:cfRule type="expression" priority="66" id="{16DE01B1-902D-4F10-A296-CAB5F46D8118}">
            <xm:f>'O4'!$F$16=Data!$H$9</xm:f>
            <x14:dxf>
              <numFmt numFmtId="172" formatCode="[$£-809]#,##0"/>
            </x14:dxf>
          </x14:cfRule>
          <x14:cfRule type="expression" priority="65" id="{2F5ED6BE-5E1E-43A2-AC49-BD9B210F0DC9}">
            <xm:f>'O4'!$F$16=Data!$H$10</xm:f>
            <x14:dxf>
              <numFmt numFmtId="166" formatCode="[$R$-416]\ #,##0"/>
            </x14:dxf>
          </x14:cfRule>
          <x14:cfRule type="expression" priority="64" id="{3E44BC1F-B968-4ECB-BA60-F7F669DE9A12}">
            <xm:f>'O4'!$F$16=Data!$H$11</xm:f>
            <x14:dxf>
              <numFmt numFmtId="171" formatCode="[$-F400]h:mm:ss\ AM/PM"/>
            </x14:dxf>
          </x14:cfRule>
          <x14:cfRule type="expression" priority="68" id="{C9B14697-36B4-4346-985E-F7E66C50A395}">
            <xm:f>'O4'!$F$16=Data!$H$7</xm:f>
            <x14:dxf>
              <numFmt numFmtId="168" formatCode="[$$-409]#,##0"/>
            </x14:dxf>
          </x14:cfRule>
          <x14:cfRule type="expression" priority="70" id="{DB1919B3-C768-483C-9799-EA354E54A8FC}">
            <xm:f>'O4'!$F$16=Data!$H$5</xm:f>
            <x14:dxf>
              <numFmt numFmtId="173" formatCode="0.0"/>
            </x14:dxf>
          </x14:cfRule>
          <x14:cfRule type="expression" priority="71" id="{61113174-AD7B-4882-9E4F-137D7B1AB357}">
            <xm:f>'O4'!$F$16=Data!$H$4</xm:f>
            <x14:dxf>
              <numFmt numFmtId="3" formatCode="#,##0"/>
            </x14:dxf>
          </x14:cfRule>
          <x14:cfRule type="expression" priority="69" id="{62E8AADC-7D25-4BA5-AD84-FE3E2C717BD1}">
            <xm:f>'O4'!$F$16=Data!$H$6</xm:f>
            <x14:dxf>
              <numFmt numFmtId="169" formatCode="#,##0\ &quot;$&quot;"/>
            </x14:dxf>
          </x14:cfRule>
          <xm:sqref>E24:R25</xm:sqref>
        </x14:conditionalFormatting>
        <x14:conditionalFormatting xmlns:xm="http://schemas.microsoft.com/office/excel/2006/main">
          <x14:cfRule type="expression" priority="56" id="{97991159-B276-4AA6-8F08-08D76DE09B2F}">
            <xm:f>'O4'!$F$17=Data!$H$9</xm:f>
            <x14:dxf>
              <numFmt numFmtId="172" formatCode="[$£-809]#,##0"/>
            </x14:dxf>
          </x14:cfRule>
          <x14:cfRule type="expression" priority="55" id="{7AA15720-8CB0-40C5-961B-F2337233354E}">
            <xm:f>'O4'!$F$17=Data!$H$10</xm:f>
            <x14:dxf>
              <numFmt numFmtId="166" formatCode="[$R$-416]\ #,##0"/>
            </x14:dxf>
          </x14:cfRule>
          <x14:cfRule type="expression" priority="63" id="{145D1FA9-93D4-494A-9D1E-F5C6632DE48B}">
            <xm:f>'O4'!$F$17=Data!$H$2</xm:f>
            <x14:dxf>
              <numFmt numFmtId="13" formatCode="0%"/>
            </x14:dxf>
          </x14:cfRule>
          <x14:cfRule type="expression" priority="62" id="{D80EEE72-6A8B-438A-9FEA-6C00A7C4BCD6}">
            <xm:f>'O4'!$F$17=Data!$H$3</xm:f>
            <x14:dxf>
              <numFmt numFmtId="165" formatCode="0.0%"/>
            </x14:dxf>
          </x14:cfRule>
          <x14:cfRule type="expression" priority="61" id="{055BD869-8548-4E89-8F91-38696AF86F02}">
            <xm:f>'O4'!$F$17=Data!$H$4</xm:f>
            <x14:dxf>
              <numFmt numFmtId="3" formatCode="#,##0"/>
            </x14:dxf>
          </x14:cfRule>
          <x14:cfRule type="expression" priority="60" id="{07CF614B-5A2A-40ED-B186-A990E34AF5DF}">
            <xm:f>'O4'!$F$17=Data!$H$5</xm:f>
            <x14:dxf>
              <numFmt numFmtId="173" formatCode="0.0"/>
            </x14:dxf>
          </x14:cfRule>
          <x14:cfRule type="expression" priority="54" id="{4D0655FF-C0CA-4751-8D81-9E18CCC18195}">
            <xm:f>'O4'!$F$17=Data!$H$11</xm:f>
            <x14:dxf>
              <numFmt numFmtId="171" formatCode="[$-F400]h:mm:ss\ AM/PM"/>
            </x14:dxf>
          </x14:cfRule>
          <x14:cfRule type="expression" priority="57" id="{DC75819B-3028-47A4-8C47-89F6F75F9398}">
            <xm:f>'O4'!$F$17=Data!$H$8</xm:f>
            <x14:dxf>
              <numFmt numFmtId="167" formatCode="#,##0\ [$€-1]"/>
            </x14:dxf>
          </x14:cfRule>
          <x14:cfRule type="expression" priority="59" id="{4845D2DA-6DC8-4F2F-A4A6-94CC2FEB4C52}">
            <xm:f>'O4'!$F$17=Data!$H$6</xm:f>
            <x14:dxf>
              <numFmt numFmtId="169" formatCode="#,##0\ &quot;$&quot;"/>
            </x14:dxf>
          </x14:cfRule>
          <x14:cfRule type="expression" priority="58" id="{86002769-5F35-410D-B55D-5C6866A10210}">
            <xm:f>'O4'!$F$17=Data!$H$7</xm:f>
            <x14:dxf>
              <numFmt numFmtId="168" formatCode="[$$-409]#,##0"/>
            </x14:dxf>
          </x14:cfRule>
          <xm:sqref>E27:R28</xm:sqref>
        </x14:conditionalFormatting>
        <x14:conditionalFormatting xmlns:xm="http://schemas.microsoft.com/office/excel/2006/main">
          <x14:cfRule type="expression" priority="50" id="{DE74E80C-D9B2-4437-ACCD-3DD73BFB6D2C}">
            <xm:f>'O4'!$F$18=Data!$H$5</xm:f>
            <x14:dxf>
              <numFmt numFmtId="173" formatCode="0.0"/>
            </x14:dxf>
          </x14:cfRule>
          <x14:cfRule type="expression" priority="44" id="{AB10278C-56FF-4486-AF85-CFC0BDE97C70}">
            <xm:f>'O4'!$F$18=Data!$H$11</xm:f>
            <x14:dxf>
              <numFmt numFmtId="171" formatCode="[$-F400]h:mm:ss\ AM/PM"/>
            </x14:dxf>
          </x14:cfRule>
          <x14:cfRule type="expression" priority="45" id="{5EDC76BA-F821-43E2-B117-17EE20F3421C}">
            <xm:f>'O4'!$F$18=Data!$H$10</xm:f>
            <x14:dxf>
              <numFmt numFmtId="166" formatCode="[$R$-416]\ #,##0"/>
            </x14:dxf>
          </x14:cfRule>
          <x14:cfRule type="expression" priority="46" id="{8FA9CCF9-7960-4042-BB0F-B0352491EBFB}">
            <xm:f>'O4'!$F$18=Data!$H$9</xm:f>
            <x14:dxf>
              <numFmt numFmtId="172" formatCode="[$£-809]#,##0"/>
            </x14:dxf>
          </x14:cfRule>
          <x14:cfRule type="expression" priority="47" id="{0D7C05CD-89FC-4854-A308-39B348796721}">
            <xm:f>'O4'!$F$18=Data!$H$8</xm:f>
            <x14:dxf>
              <numFmt numFmtId="167" formatCode="#,##0\ [$€-1]"/>
            </x14:dxf>
          </x14:cfRule>
          <x14:cfRule type="expression" priority="48" id="{F1564987-7BF7-46B1-A9FF-6EE845A9A038}">
            <xm:f>'O4'!$F$18=Data!$H$7</xm:f>
            <x14:dxf>
              <numFmt numFmtId="168" formatCode="[$$-409]#,##0"/>
            </x14:dxf>
          </x14:cfRule>
          <x14:cfRule type="expression" priority="49" id="{7B00238F-6B77-4867-AA56-DC9BA9F42FBA}">
            <xm:f>'O4'!$F$18=Data!$H$6</xm:f>
            <x14:dxf>
              <numFmt numFmtId="169" formatCode="#,##0\ &quot;$&quot;"/>
            </x14:dxf>
          </x14:cfRule>
          <x14:cfRule type="expression" priority="52" id="{E75A2B6A-4EE0-4BDE-8699-B54A3B5044A4}">
            <xm:f>'O4'!$F$18=Data!$H$3</xm:f>
            <x14:dxf>
              <numFmt numFmtId="165" formatCode="0.0%"/>
            </x14:dxf>
          </x14:cfRule>
          <x14:cfRule type="expression" priority="53" id="{43272C73-34FC-4A0D-A880-624B55598539}">
            <xm:f>'O4'!$F$18=Data!$H$2</xm:f>
            <x14:dxf>
              <numFmt numFmtId="13" formatCode="0%"/>
            </x14:dxf>
          </x14:cfRule>
          <x14:cfRule type="expression" priority="51" id="{45A0C575-C7F4-4676-9A31-F7202B3F30A1}">
            <xm:f>'O4'!$F$18=Data!$H$4</xm:f>
            <x14:dxf>
              <numFmt numFmtId="3" formatCode="#,##0"/>
            </x14:dxf>
          </x14:cfRule>
          <xm:sqref>E30:R31</xm:sqref>
        </x14:conditionalFormatting>
        <x14:conditionalFormatting xmlns:xm="http://schemas.microsoft.com/office/excel/2006/main">
          <x14:cfRule type="expression" priority="36" id="{0A3B6E60-97F0-48A2-ABA6-841E9617BEBB}">
            <xm:f>'O4'!$F$19=Data!$H$9</xm:f>
            <x14:dxf>
              <numFmt numFmtId="172" formatCode="[$£-809]#,##0"/>
            </x14:dxf>
          </x14:cfRule>
          <x14:cfRule type="expression" priority="35" id="{C4EDD798-3A09-494B-A031-C2E9A44F4F67}">
            <xm:f>'O4'!$F$19=Data!$H$10</xm:f>
            <x14:dxf>
              <numFmt numFmtId="166" formatCode="[$R$-416]\ #,##0"/>
            </x14:dxf>
          </x14:cfRule>
          <x14:cfRule type="expression" priority="37" id="{2142121C-1C31-41CC-85A7-4153E9C5DEBC}">
            <xm:f>'O4'!$F$19=Data!$H$8</xm:f>
            <x14:dxf>
              <numFmt numFmtId="167" formatCode="#,##0\ [$€-1]"/>
            </x14:dxf>
          </x14:cfRule>
          <x14:cfRule type="expression" priority="38" id="{ABA47D28-C731-4416-83B4-D8ED5DF84191}">
            <xm:f>'O4'!$F$19=Data!$H$7</xm:f>
            <x14:dxf>
              <numFmt numFmtId="168" formatCode="[$$-409]#,##0"/>
            </x14:dxf>
          </x14:cfRule>
          <x14:cfRule type="expression" priority="39" id="{26A055FD-FDB8-4328-ADD7-F6B6CB7EB415}">
            <xm:f>'O4'!$F$19=Data!$H$6</xm:f>
            <x14:dxf>
              <numFmt numFmtId="169" formatCode="#,##0\ &quot;$&quot;"/>
            </x14:dxf>
          </x14:cfRule>
          <x14:cfRule type="expression" priority="40" id="{70584B7B-52E4-47C8-B7CA-A4C9187DBC6A}">
            <xm:f>'O4'!$F$19=Data!$H$5</xm:f>
            <x14:dxf>
              <numFmt numFmtId="173" formatCode="0.0"/>
            </x14:dxf>
          </x14:cfRule>
          <x14:cfRule type="expression" priority="41" id="{36503912-1CEE-4A0C-B229-8742942AA5BA}">
            <xm:f>'O4'!$F$19=Data!$H$4</xm:f>
            <x14:dxf>
              <numFmt numFmtId="3" formatCode="#,##0"/>
            </x14:dxf>
          </x14:cfRule>
          <x14:cfRule type="expression" priority="42" id="{756974B7-6A69-4987-A0E4-99C7DD297EB9}">
            <xm:f>'O4'!$F$19=Data!$H$3</xm:f>
            <x14:dxf>
              <numFmt numFmtId="165" formatCode="0.0%"/>
            </x14:dxf>
          </x14:cfRule>
          <x14:cfRule type="expression" priority="43" id="{B37B5D0C-A6FD-4771-A5E1-7CDF6F071C5A}">
            <xm:f>'O4'!$F$19=Data!$H$2</xm:f>
            <x14:dxf>
              <numFmt numFmtId="13" formatCode="0%"/>
            </x14:dxf>
          </x14:cfRule>
          <x14:cfRule type="expression" priority="34" id="{B2E41D4B-DEB6-4FB6-B1FF-E6ABAD631E7F}">
            <xm:f>'O4'!$F$19=Data!$H$11</xm:f>
            <x14:dxf>
              <numFmt numFmtId="171" formatCode="[$-F400]h:mm:ss\ AM/PM"/>
            </x14:dxf>
          </x14:cfRule>
          <xm:sqref>E33:R34</xm:sqref>
        </x14:conditionalFormatting>
        <x14:conditionalFormatting xmlns:xm="http://schemas.microsoft.com/office/excel/2006/main">
          <x14:cfRule type="expression" priority="25" id="{0D496351-93F6-4FAA-B7AB-7BC9D230C586}">
            <xm:f>'O4'!$F$20=Data!$H$10</xm:f>
            <x14:dxf>
              <numFmt numFmtId="166" formatCode="[$R$-416]\ #,##0"/>
            </x14:dxf>
          </x14:cfRule>
          <x14:cfRule type="expression" priority="26" id="{3F7C7B6B-E753-412E-87A4-67DBD414C92B}">
            <xm:f>'O4'!$F$20=Data!$H$9</xm:f>
            <x14:dxf>
              <numFmt numFmtId="172" formatCode="[$£-809]#,##0"/>
            </x14:dxf>
          </x14:cfRule>
          <x14:cfRule type="expression" priority="27" id="{54EC1A84-0988-4A33-8A2B-F1FB3529C5C2}">
            <xm:f>'O4'!$F$20=Data!$H$8</xm:f>
            <x14:dxf>
              <numFmt numFmtId="167" formatCode="#,##0\ [$€-1]"/>
            </x14:dxf>
          </x14:cfRule>
          <x14:cfRule type="expression" priority="28" id="{00345B09-F2EC-49C1-B8D8-AFEF7F0473A3}">
            <xm:f>'O4'!$F$20=Data!$H$7</xm:f>
            <x14:dxf>
              <numFmt numFmtId="168" formatCode="[$$-409]#,##0"/>
            </x14:dxf>
          </x14:cfRule>
          <x14:cfRule type="expression" priority="29" id="{2294CB90-75C2-46DC-B092-7240940B6EC2}">
            <xm:f>'O4'!$F$20=Data!$H$6</xm:f>
            <x14:dxf>
              <numFmt numFmtId="169" formatCode="#,##0\ &quot;$&quot;"/>
            </x14:dxf>
          </x14:cfRule>
          <x14:cfRule type="expression" priority="30" id="{2850715C-113D-4F75-A9E8-A199E55A28D6}">
            <xm:f>'O4'!$F$20=Data!$H$5</xm:f>
            <x14:dxf>
              <numFmt numFmtId="173" formatCode="0.0"/>
            </x14:dxf>
          </x14:cfRule>
          <x14:cfRule type="expression" priority="31" id="{3C5DD2C8-87B1-4011-9186-44CA76FF3380}">
            <xm:f>'O4'!$F$20=Data!$H$4</xm:f>
            <x14:dxf>
              <numFmt numFmtId="3" formatCode="#,##0"/>
            </x14:dxf>
          </x14:cfRule>
          <x14:cfRule type="expression" priority="32" id="{E4EC8A0D-9C60-4C72-B721-8F43637F2567}">
            <xm:f>'O4'!$F$20=Data!$H$3</xm:f>
            <x14:dxf>
              <numFmt numFmtId="165" formatCode="0.0%"/>
            </x14:dxf>
          </x14:cfRule>
          <x14:cfRule type="expression" priority="33" id="{1247480E-7A22-43DE-858D-19BE8197FD01}">
            <xm:f>'O4'!$F$20=Data!$H$2</xm:f>
            <x14:dxf>
              <numFmt numFmtId="13" formatCode="0%"/>
            </x14:dxf>
          </x14:cfRule>
          <x14:cfRule type="expression" priority="24" id="{D385182C-BBCE-43A2-8306-7762E353D484}">
            <xm:f>'O4'!$F$20=Data!$H$11</xm:f>
            <x14:dxf>
              <numFmt numFmtId="171" formatCode="[$-F400]h:mm:ss\ AM/PM"/>
            </x14:dxf>
          </x14:cfRule>
          <xm:sqref>E36:R37</xm:sqref>
        </x14:conditionalFormatting>
        <x14:conditionalFormatting xmlns:xm="http://schemas.microsoft.com/office/excel/2006/main">
          <x14:cfRule type="expression" priority="19" id="{4DA012B5-6C07-4673-983E-97594ED38173}">
            <xm:f>'O4'!$F$21=Data!$H$6</xm:f>
            <x14:dxf>
              <numFmt numFmtId="169" formatCode="#,##0\ &quot;$&quot;"/>
            </x14:dxf>
          </x14:cfRule>
          <x14:cfRule type="expression" priority="20" id="{178B7C5D-01D8-4A83-9FB9-736779B74254}">
            <xm:f>'O4'!$F$21=Data!$H$5</xm:f>
            <x14:dxf>
              <numFmt numFmtId="173" formatCode="0.0"/>
            </x14:dxf>
          </x14:cfRule>
          <x14:cfRule type="expression" priority="21" id="{D6296FC6-5D41-4B12-B078-AD2887FD9A55}">
            <xm:f>'O4'!$F$21=Data!$H$4</xm:f>
            <x14:dxf>
              <numFmt numFmtId="3" formatCode="#,##0"/>
            </x14:dxf>
          </x14:cfRule>
          <x14:cfRule type="expression" priority="23" id="{220ACF03-229C-4107-9FF2-29026ACCC747}">
            <xm:f>'O4'!$F$21=Data!$H$2</xm:f>
            <x14:dxf>
              <numFmt numFmtId="13" formatCode="0%"/>
            </x14:dxf>
          </x14:cfRule>
          <x14:cfRule type="expression" priority="18" id="{BC7E68A3-B66A-4B45-A5A9-47323AB8492C}">
            <xm:f>'O4'!$F$21=Data!$H$7</xm:f>
            <x14:dxf>
              <numFmt numFmtId="168" formatCode="[$$-409]#,##0"/>
            </x14:dxf>
          </x14:cfRule>
          <x14:cfRule type="expression" priority="17" id="{9C58DDDE-3ACE-47E3-A632-81C6E8B5FD7A}">
            <xm:f>'O4'!$F$21=Data!$H$8</xm:f>
            <x14:dxf>
              <numFmt numFmtId="167" formatCode="#,##0\ [$€-1]"/>
            </x14:dxf>
          </x14:cfRule>
          <x14:cfRule type="expression" priority="16" id="{5D64BEF7-558E-41AA-ADC6-D00D73A98336}">
            <xm:f>'O4'!$F$21=Data!$H$9</xm:f>
            <x14:dxf>
              <numFmt numFmtId="172" formatCode="[$£-809]#,##0"/>
            </x14:dxf>
          </x14:cfRule>
          <x14:cfRule type="expression" priority="15" id="{426131B1-114D-49F6-80B3-6FFB57C612F5}">
            <xm:f>'O4'!$F$21=Data!$H$10</xm:f>
            <x14:dxf>
              <numFmt numFmtId="166" formatCode="[$R$-416]\ #,##0"/>
            </x14:dxf>
          </x14:cfRule>
          <x14:cfRule type="expression" priority="14" id="{2CC0B4E8-E5CB-495F-A329-2DDC6F31AA32}">
            <xm:f>'O4'!$F$21=Data!$H$11</xm:f>
            <x14:dxf>
              <numFmt numFmtId="171" formatCode="[$-F400]h:mm:ss\ AM/PM"/>
            </x14:dxf>
          </x14:cfRule>
          <x14:cfRule type="expression" priority="22" id="{FA8EE147-56FC-4A7D-BBDC-FBA8C6941296}">
            <xm:f>'O4'!$F$21=Data!$H$3</xm:f>
            <x14:dxf>
              <numFmt numFmtId="165" formatCode="0.0%"/>
            </x14:dxf>
          </x14:cfRule>
          <xm:sqref>E39:R40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8B0BB-EFEF-4DC7-AEBD-A689BA31BD2D}">
  <dimension ref="A1:U87"/>
  <sheetViews>
    <sheetView showGridLines="0" showRowColHeaders="0" zoomScaleNormal="100" workbookViewId="0">
      <selection activeCell="G10" sqref="G10"/>
    </sheetView>
  </sheetViews>
  <sheetFormatPr baseColWidth="10" defaultColWidth="11.5" defaultRowHeight="15"/>
  <cols>
    <col min="1" max="1" width="2.6640625" style="290" customWidth="1"/>
    <col min="2" max="18" width="16.6640625" style="290" customWidth="1"/>
    <col min="19" max="19" width="1.5" style="290" customWidth="1"/>
    <col min="20" max="21" width="11.5" style="290" hidden="1" customWidth="1"/>
    <col min="22" max="16384" width="11.5" style="290"/>
  </cols>
  <sheetData>
    <row r="1" spans="1:21" s="249" customFormat="1" ht="39" customHeight="1">
      <c r="A1" s="248"/>
      <c r="B1" s="248"/>
      <c r="C1" s="248"/>
      <c r="D1" s="248"/>
      <c r="E1" s="248"/>
      <c r="F1" s="248"/>
      <c r="G1" s="248"/>
      <c r="H1" s="248"/>
      <c r="I1" s="248"/>
      <c r="J1" s="248"/>
      <c r="K1" s="248"/>
      <c r="L1" s="248"/>
      <c r="M1" s="248"/>
      <c r="N1" s="248"/>
      <c r="O1" s="248"/>
      <c r="P1" s="248"/>
      <c r="Q1" s="248"/>
      <c r="R1" s="248"/>
      <c r="S1" s="248"/>
    </row>
    <row r="2" spans="1:21" s="308" customFormat="1" ht="25" customHeight="1"/>
    <row r="3" spans="1:21" s="287" customFormat="1" ht="18" customHeight="1"/>
    <row r="4" spans="1:21" s="287" customFormat="1" ht="18" customHeight="1"/>
    <row r="5" spans="1:21" s="287" customFormat="1" ht="20" customHeight="1"/>
    <row r="6" spans="1:21" ht="20" customHeight="1">
      <c r="A6" s="288"/>
      <c r="B6" s="288"/>
      <c r="C6" s="288"/>
      <c r="D6" s="288"/>
      <c r="E6" s="288"/>
      <c r="F6" s="288"/>
      <c r="G6" s="288"/>
      <c r="H6" s="288"/>
    </row>
    <row r="7" spans="1:21" ht="20" customHeight="1">
      <c r="A7" s="288"/>
      <c r="B7" s="303" t="str">
        <f>Lan!F43&amp;" - "&amp;Goals!C16</f>
        <v>2.3. Objetivos - Incrementar las ventas a través de plataformas digitales.</v>
      </c>
      <c r="C7" s="346"/>
      <c r="D7" s="346"/>
      <c r="E7" s="346"/>
      <c r="F7" s="346"/>
      <c r="G7" s="360"/>
      <c r="H7" s="360"/>
      <c r="I7" s="93"/>
      <c r="J7" s="93"/>
      <c r="K7" s="93"/>
      <c r="L7" s="93"/>
      <c r="M7" s="93"/>
      <c r="N7" s="93"/>
      <c r="O7" s="93"/>
      <c r="P7" s="93"/>
      <c r="Q7" s="93"/>
      <c r="R7" s="93"/>
    </row>
    <row r="8" spans="1:21" ht="20" customHeight="1">
      <c r="A8" s="288"/>
      <c r="B8" s="334" t="str">
        <f>Lan!F44</f>
        <v>Los objetivos proporcionan hitos específicos con un cronograma específico para lograr una meta.</v>
      </c>
      <c r="C8" s="92"/>
      <c r="D8" s="92"/>
      <c r="E8" s="92"/>
      <c r="F8" s="92"/>
      <c r="G8" s="92"/>
      <c r="H8" s="92"/>
      <c r="I8" s="93"/>
      <c r="J8" s="93"/>
      <c r="K8" s="93"/>
      <c r="L8" s="93"/>
      <c r="M8" s="93"/>
      <c r="N8" s="93"/>
      <c r="O8" s="93"/>
      <c r="P8" s="93"/>
      <c r="Q8" s="93"/>
      <c r="R8" s="93"/>
      <c r="T8" s="415">
        <f>Settings!E22</f>
        <v>0.9</v>
      </c>
      <c r="U8" s="93"/>
    </row>
    <row r="9" spans="1:21" ht="20" customHeight="1" thickBot="1">
      <c r="A9" s="288"/>
      <c r="B9" s="92"/>
      <c r="C9" s="92"/>
      <c r="D9" s="92"/>
      <c r="E9" s="92"/>
      <c r="F9" s="92"/>
      <c r="G9" s="92"/>
      <c r="H9" s="92"/>
      <c r="I9" s="93"/>
      <c r="J9" s="93"/>
      <c r="K9" s="93"/>
      <c r="L9" s="93"/>
      <c r="M9" s="93"/>
      <c r="N9" s="93"/>
      <c r="O9" s="93"/>
      <c r="P9" s="93"/>
      <c r="Q9" s="93"/>
      <c r="R9" s="93"/>
      <c r="T9" s="415"/>
      <c r="U9" s="93"/>
    </row>
    <row r="10" spans="1:21" ht="20" customHeight="1" thickTop="1" thickBot="1">
      <c r="A10" s="288"/>
      <c r="B10" s="419" t="str">
        <f>IF(Goals!$C$12="","",Goals!$B$12)</f>
        <v>Meta 1</v>
      </c>
      <c r="C10" s="419" t="str">
        <f>IF(Goals!$C$13="","",Goals!$B$13)</f>
        <v>Meta 2</v>
      </c>
      <c r="D10" s="419" t="str">
        <f>IF(Goals!$C$14="","",Goals!$B$14)</f>
        <v>Meta 3</v>
      </c>
      <c r="E10" s="419" t="str">
        <f>IF(Goals!$C$15="","",Goals!$B$15)</f>
        <v>Meta 4</v>
      </c>
      <c r="F10" s="420" t="str">
        <f>IF(Goals!$C$16="","",Goals!$B$16)</f>
        <v>Meta 5</v>
      </c>
      <c r="G10" s="419" t="str">
        <f>IF(Goals!$C$17="","",Goals!$B$17)</f>
        <v>Meta 6</v>
      </c>
      <c r="H10" s="409"/>
      <c r="I10" s="410"/>
      <c r="J10" s="410"/>
      <c r="K10" s="410"/>
      <c r="L10" s="410"/>
      <c r="M10" s="410"/>
      <c r="N10" s="410"/>
      <c r="O10" s="410"/>
      <c r="P10" s="410"/>
      <c r="Q10" s="410"/>
      <c r="R10" s="411"/>
      <c r="T10" s="415"/>
      <c r="U10" s="93"/>
    </row>
    <row r="11" spans="1:21" ht="30" customHeight="1" thickTop="1" thickBot="1">
      <c r="A11" s="288"/>
      <c r="B11" s="503" t="str">
        <f>Lan!$F$45</f>
        <v>Objetivos</v>
      </c>
      <c r="C11" s="504"/>
      <c r="D11" s="365" t="str">
        <f>Lan!$F$57&amp;" / "&amp;Lan!$F$58</f>
        <v>Actual / Meta</v>
      </c>
      <c r="E11" s="365" t="str">
        <f>Data!$A$2</f>
        <v>ENE</v>
      </c>
      <c r="F11" s="365" t="str">
        <f>Data!$A$3</f>
        <v>FEB</v>
      </c>
      <c r="G11" s="365" t="str">
        <f>Data!$A$4</f>
        <v>MAR</v>
      </c>
      <c r="H11" s="365" t="str">
        <f>Data!$A$5</f>
        <v>ABR</v>
      </c>
      <c r="I11" s="365" t="str">
        <f>Data!$A$6</f>
        <v>MAY</v>
      </c>
      <c r="J11" s="365" t="str">
        <f>Data!$A$7</f>
        <v>JUN</v>
      </c>
      <c r="K11" s="365" t="str">
        <f>Data!$A$8</f>
        <v>JUL</v>
      </c>
      <c r="L11" s="365" t="str">
        <f>Data!$A$9</f>
        <v>AGO</v>
      </c>
      <c r="M11" s="365" t="str">
        <f>Data!$A$10</f>
        <v>SEP</v>
      </c>
      <c r="N11" s="365" t="str">
        <f>Data!$A$11</f>
        <v>OCT</v>
      </c>
      <c r="O11" s="365" t="str">
        <f>Data!$A$12</f>
        <v>NOV</v>
      </c>
      <c r="P11" s="365" t="str">
        <f>Data!$A$13</f>
        <v>DIC</v>
      </c>
      <c r="Q11" s="365" t="str">
        <f>Lan!F60</f>
        <v>Acumulado</v>
      </c>
      <c r="R11" s="365" t="str">
        <f>Data!$A$15</f>
        <v>TOTAL</v>
      </c>
      <c r="T11" s="93"/>
      <c r="U11" s="93"/>
    </row>
    <row r="12" spans="1:21" ht="22" customHeight="1">
      <c r="A12" s="288"/>
      <c r="B12" s="497" t="str">
        <f>IF('O5'!B12="","",'O5'!B12)</f>
        <v>Lanzar una tienda en línea funcional antes de marzo de 2026.</v>
      </c>
      <c r="C12" s="498"/>
      <c r="D12" s="400" t="str">
        <f>IF(B12="","",Lan!$F$57)</f>
        <v>Actual</v>
      </c>
      <c r="E12" s="94">
        <v>0.92</v>
      </c>
      <c r="F12" s="94">
        <v>0.99</v>
      </c>
      <c r="G12" s="94">
        <v>0.72</v>
      </c>
      <c r="H12" s="94">
        <v>0.92</v>
      </c>
      <c r="I12" s="94">
        <v>0.92</v>
      </c>
      <c r="J12" s="94">
        <v>0.95</v>
      </c>
      <c r="K12" s="94">
        <v>0.88</v>
      </c>
      <c r="L12" s="94">
        <v>0.77</v>
      </c>
      <c r="M12" s="94">
        <v>0.66</v>
      </c>
      <c r="N12" s="94">
        <v>0.92</v>
      </c>
      <c r="O12" s="94">
        <v>0.92</v>
      </c>
      <c r="P12" s="94">
        <v>0.92</v>
      </c>
      <c r="Q12" s="402">
        <f t="array" ref="Q12">IF(B12="","",IFERROR(IF('O5'!$H$12=Data!$J$4,INDEX('KPI5'!E12:P12,COUNT(E12:P12)),IF('O5'!$H$12=Data!$J$2,SUM('KPI5'!E12:P12),IF('O5'!$H$12=Data!$J$3,AVERAGEIF(E12:P12,"&lt;&gt;",E12:P12)))),0))</f>
        <v>10.49</v>
      </c>
      <c r="R12" s="402">
        <f t="array" ref="R12">IF(B12="","",IFERROR(IF('O5'!$H$12=Data!$J$4,INDEX('KPI5'!E12:P12,COUNT(E12:P12)),IF('O5'!$H$12=Data!$J$2,SUM('KPI5'!E12:P12),IF('O5'!$H$12=Data!$J$3,AVERAGEIF(E12:P12,"&lt;&gt;",E12:P12)))),0))</f>
        <v>10.49</v>
      </c>
      <c r="T12" s="93" t="str">
        <f>'O5'!G12</f>
        <v>↑</v>
      </c>
      <c r="U12" s="93"/>
    </row>
    <row r="13" spans="1:21" ht="22" customHeight="1">
      <c r="A13" s="288"/>
      <c r="B13" s="499"/>
      <c r="C13" s="500"/>
      <c r="D13" s="401" t="str">
        <f>IF(B12="","",Lan!$F$58)</f>
        <v>Meta</v>
      </c>
      <c r="E13" s="95">
        <v>0.9</v>
      </c>
      <c r="F13" s="95">
        <v>0.9</v>
      </c>
      <c r="G13" s="95">
        <v>0.9</v>
      </c>
      <c r="H13" s="95">
        <v>0.9</v>
      </c>
      <c r="I13" s="95">
        <v>0.9</v>
      </c>
      <c r="J13" s="95">
        <v>0.9</v>
      </c>
      <c r="K13" s="95">
        <v>0.9</v>
      </c>
      <c r="L13" s="95">
        <v>0.9</v>
      </c>
      <c r="M13" s="95">
        <v>0.9</v>
      </c>
      <c r="N13" s="95">
        <v>0.9</v>
      </c>
      <c r="O13" s="95">
        <v>0.9</v>
      </c>
      <c r="P13" s="95">
        <v>0.9</v>
      </c>
      <c r="Q13" s="401">
        <f>IF(B12="","",IFERROR(IF('O5'!$H$12=Data!$J$4,T13,IF('O5'!$H$12=Data!$J$2,SUMIF('KPI5'!E12:P12,"&lt;&gt;",E13:P13),IF('O5'!$H$12=Data!$J$3,AVERAGEIF(E13:P13,"&lt;&gt;",E13:P13)))),0))</f>
        <v>10.800000000000002</v>
      </c>
      <c r="R13" s="403">
        <f t="array" ref="R13">IF(B12="","",IFERROR(IF('O5'!$H$12=Data!$J$4,INDEX('KPI5'!E13:P13,COUNT(E13:P13)),IF('O5'!$H$12=Data!$J$2,SUM('KPI5'!E13:P13),IF('O5'!$H$12=Data!$J$3,AVERAGE(E13:P13)))),0))</f>
        <v>10.800000000000002</v>
      </c>
      <c r="T13" s="93">
        <f>IF(P12&lt;&gt;"",P13,IF(O12&lt;&gt;"",O13,IF(N12&lt;&gt;"",N13,IF(M12&lt;&gt;"",M13,IF(L12&lt;&gt;"",L13,IF(K12&lt;&gt;"",K13,IF(J12&lt;&gt;"",J13,IF(I12&lt;&gt;"",I13,IF(H12&lt;&gt;"",H13,IF(G12&lt;&gt;"",G13,IF(F12&lt;&gt;"",F13,IF(E12&lt;&gt;"",E13,0))))))))))))</f>
        <v>0.9</v>
      </c>
      <c r="U13" s="93"/>
    </row>
    <row r="14" spans="1:21" s="309" customFormat="1" ht="22" customHeight="1" thickBot="1">
      <c r="B14" s="505"/>
      <c r="C14" s="506"/>
      <c r="D14" s="214" t="str">
        <f>IF(B12="","","%")</f>
        <v>%</v>
      </c>
      <c r="E14" s="215">
        <f t="shared" ref="E14:R14" si="0">IFERROR(IF($B12="","",E12/E13),"")</f>
        <v>1.0222222222222221</v>
      </c>
      <c r="F14" s="215">
        <f t="shared" si="0"/>
        <v>1.0999999999999999</v>
      </c>
      <c r="G14" s="215">
        <f t="shared" si="0"/>
        <v>0.79999999999999993</v>
      </c>
      <c r="H14" s="215">
        <f t="shared" si="0"/>
        <v>1.0222222222222221</v>
      </c>
      <c r="I14" s="215">
        <f t="shared" si="0"/>
        <v>1.0222222222222221</v>
      </c>
      <c r="J14" s="215">
        <f t="shared" si="0"/>
        <v>1.0555555555555556</v>
      </c>
      <c r="K14" s="215">
        <f t="shared" si="0"/>
        <v>0.97777777777777775</v>
      </c>
      <c r="L14" s="215">
        <f t="shared" si="0"/>
        <v>0.85555555555555551</v>
      </c>
      <c r="M14" s="215">
        <f t="shared" si="0"/>
        <v>0.73333333333333339</v>
      </c>
      <c r="N14" s="215">
        <f t="shared" si="0"/>
        <v>1.0222222222222221</v>
      </c>
      <c r="O14" s="215">
        <f t="shared" si="0"/>
        <v>1.0222222222222221</v>
      </c>
      <c r="P14" s="215">
        <f t="shared" si="0"/>
        <v>1.0222222222222221</v>
      </c>
      <c r="Q14" s="215">
        <f t="shared" si="0"/>
        <v>0.9712962962962961</v>
      </c>
      <c r="R14" s="215">
        <f t="shared" si="0"/>
        <v>0.9712962962962961</v>
      </c>
      <c r="T14" s="416"/>
      <c r="U14" s="416"/>
    </row>
    <row r="15" spans="1:21" ht="22" customHeight="1">
      <c r="A15" s="288"/>
      <c r="B15" s="497" t="str">
        <f>IF('O5'!B13="","",'O5'!B13)</f>
        <v>Generar $1,000,000 MXN en ventas digitales acumuladas para diciembre de 2026.</v>
      </c>
      <c r="C15" s="498"/>
      <c r="D15" s="400" t="str">
        <f>IF(B15="","",Lan!$F$57)</f>
        <v>Actual</v>
      </c>
      <c r="E15" s="94">
        <v>1</v>
      </c>
      <c r="F15" s="94">
        <v>0.55000000000000004</v>
      </c>
      <c r="G15" s="94">
        <v>0.78</v>
      </c>
      <c r="H15" s="94">
        <v>0.99</v>
      </c>
      <c r="I15" s="94">
        <v>1</v>
      </c>
      <c r="J15" s="94">
        <v>0.87</v>
      </c>
      <c r="K15" s="94">
        <v>0.69</v>
      </c>
      <c r="L15" s="94">
        <v>0.69</v>
      </c>
      <c r="M15" s="94">
        <v>0.69</v>
      </c>
      <c r="N15" s="94">
        <v>0.69</v>
      </c>
      <c r="O15" s="94">
        <v>0.89</v>
      </c>
      <c r="P15" s="94">
        <v>0.69</v>
      </c>
      <c r="Q15" s="402">
        <f t="array" ref="Q15">IF(B15="","",IFERROR(IF('O5'!$H$13=Data!$J$4,INDEX('KPI5'!E15:P15,COUNT(E15:P15)),IF('O5'!$H$13=Data!$J$2,SUM('KPI5'!E15:P15),IF('O5'!$H$13=Data!$J$3,AVERAGEIF(E15:P15,"&lt;&gt;",E15:P15)))),0))</f>
        <v>0.69</v>
      </c>
      <c r="R15" s="402">
        <f t="array" ref="R15">IF(B15="","",IFERROR(IF('O5'!$H$13=Data!$J$4,INDEX('KPI5'!E15:P15,COUNT(E15:P15)),IF('O5'!$H$13=Data!$J$2,SUM('KPI5'!E15:P15),IF('O5'!$H$13=Data!$J$3,AVERAGEIF(E15:P15,"&lt;&gt;",E15:P15)))),0))</f>
        <v>0.69</v>
      </c>
      <c r="T15" s="93" t="str">
        <f>'O5'!G13</f>
        <v>↑</v>
      </c>
      <c r="U15" s="93"/>
    </row>
    <row r="16" spans="1:21" ht="22" customHeight="1">
      <c r="A16" s="288"/>
      <c r="B16" s="499"/>
      <c r="C16" s="500"/>
      <c r="D16" s="401" t="str">
        <f>IF(B15="","",Lan!$F$58)</f>
        <v>Meta</v>
      </c>
      <c r="E16" s="95">
        <v>0.98</v>
      </c>
      <c r="F16" s="95">
        <v>0.98</v>
      </c>
      <c r="G16" s="95">
        <v>0.98</v>
      </c>
      <c r="H16" s="95">
        <v>0.98</v>
      </c>
      <c r="I16" s="95">
        <v>0.98</v>
      </c>
      <c r="J16" s="95">
        <v>0.98</v>
      </c>
      <c r="K16" s="95">
        <v>0.98</v>
      </c>
      <c r="L16" s="95">
        <v>0.98</v>
      </c>
      <c r="M16" s="95">
        <v>0.98</v>
      </c>
      <c r="N16" s="95">
        <v>0.98</v>
      </c>
      <c r="O16" s="95">
        <v>0.98</v>
      </c>
      <c r="P16" s="95">
        <v>0.98</v>
      </c>
      <c r="Q16" s="401">
        <f>IF(B15="","",IFERROR(IF('O5'!$H$13=Data!$J$4,T16,IF('O5'!$H$13=Data!$J$2,SUMIF('KPI5'!E15:P15,"&lt;&gt;",E16:P16),IF('O5'!$H$13=Data!$J$3,AVERAGEIF(E16:P16,"&lt;&gt;",E16:P16)))),0))</f>
        <v>0.98</v>
      </c>
      <c r="R16" s="403">
        <f t="array" ref="R16">IF(B15="","",IFERROR(IF('O5'!$H$13=Data!$J$4,INDEX('KPI5'!E16:P16,COUNT(E16:P16)),IF('O5'!$H$13=Data!$J$2,SUM('KPI5'!E16:P16),IF('O5'!$H$13=Data!$J$3,AVERAGE(E16:P16)))),0))</f>
        <v>0.98</v>
      </c>
      <c r="T16" s="93">
        <f>IF(P15&lt;&gt;"",P16,IF(O15&lt;&gt;"",O16,IF(N15&lt;&gt;"",N16,IF(M15&lt;&gt;"",M16,IF(L15&lt;&gt;"",L16,IF(K15&lt;&gt;"",K16,IF(J15&lt;&gt;"",J16,IF(I15&lt;&gt;"",I16,IF(H15&lt;&gt;"",H16,IF(G15&lt;&gt;"",G16,IF(F15&lt;&gt;"",F16,IF(E15&lt;&gt;"",E16,0))))))))))))</f>
        <v>0.98</v>
      </c>
      <c r="U16" s="93"/>
    </row>
    <row r="17" spans="1:21" s="309" customFormat="1" ht="22" customHeight="1" thickBot="1">
      <c r="B17" s="505"/>
      <c r="C17" s="506"/>
      <c r="D17" s="214" t="str">
        <f>IF(B15="","","%")</f>
        <v>%</v>
      </c>
      <c r="E17" s="215">
        <f t="shared" ref="E17:R17" si="1">IFERROR(IF($B15="","",E15/E16),"")</f>
        <v>1.0204081632653061</v>
      </c>
      <c r="F17" s="215">
        <f t="shared" si="1"/>
        <v>0.56122448979591844</v>
      </c>
      <c r="G17" s="215">
        <f t="shared" si="1"/>
        <v>0.79591836734693877</v>
      </c>
      <c r="H17" s="215">
        <f t="shared" si="1"/>
        <v>1.010204081632653</v>
      </c>
      <c r="I17" s="215">
        <f t="shared" si="1"/>
        <v>1.0204081632653061</v>
      </c>
      <c r="J17" s="215">
        <f t="shared" si="1"/>
        <v>0.88775510204081631</v>
      </c>
      <c r="K17" s="215">
        <f t="shared" si="1"/>
        <v>0.70408163265306123</v>
      </c>
      <c r="L17" s="215">
        <f t="shared" si="1"/>
        <v>0.70408163265306123</v>
      </c>
      <c r="M17" s="215">
        <f t="shared" si="1"/>
        <v>0.70408163265306123</v>
      </c>
      <c r="N17" s="215">
        <f t="shared" si="1"/>
        <v>0.70408163265306123</v>
      </c>
      <c r="O17" s="215">
        <f t="shared" si="1"/>
        <v>0.90816326530612246</v>
      </c>
      <c r="P17" s="215">
        <f t="shared" si="1"/>
        <v>0.70408163265306123</v>
      </c>
      <c r="Q17" s="215">
        <f t="shared" si="1"/>
        <v>0.70408163265306123</v>
      </c>
      <c r="R17" s="215">
        <f t="shared" si="1"/>
        <v>0.70408163265306123</v>
      </c>
      <c r="T17" s="416"/>
      <c r="U17" s="416"/>
    </row>
    <row r="18" spans="1:21" ht="22" customHeight="1">
      <c r="A18" s="288"/>
      <c r="B18" s="497" t="str">
        <f>IF('O5'!B14="","",'O5'!B14)</f>
        <v/>
      </c>
      <c r="C18" s="498"/>
      <c r="D18" s="400" t="str">
        <f>IF(B18="","",Lan!$F$57)</f>
        <v/>
      </c>
      <c r="E18" s="94"/>
      <c r="F18" s="94"/>
      <c r="G18" s="94"/>
      <c r="H18" s="94"/>
      <c r="I18" s="94"/>
      <c r="J18" s="94"/>
      <c r="K18" s="94"/>
      <c r="L18" s="94"/>
      <c r="M18" s="94"/>
      <c r="N18" s="94"/>
      <c r="O18" s="94"/>
      <c r="P18" s="94"/>
      <c r="Q18" s="402" t="str">
        <f t="array" ref="Q18">IF(B18="","",IFERROR(IF('O5'!$H$14=Data!$J$4,INDEX('KPI5'!E18:P18,COUNT(E18:P18)),IF('O5'!$H$14=Data!$J$2,SUM('KPI5'!E18:P18),IF('O5'!$H$14=Data!$J$3,AVERAGEIF(E18:P18,"&lt;&gt;",E18:P18)))),0))</f>
        <v/>
      </c>
      <c r="R18" s="402" t="str">
        <f t="array" ref="R18">IF(B18="","",IFERROR(IF('O5'!$H$14=Data!$J$4,INDEX('KPI5'!E18:P18,COUNT(E18:P18)),IF('O5'!$H$14=Data!$J$2,SUM('KPI5'!E18:P18),IF('O5'!$H$14=Data!$J$3,AVERAGEIF(E18:P18,"&lt;&gt;",E18:P18)))),0))</f>
        <v/>
      </c>
      <c r="T18" s="93">
        <f>'O5'!G14</f>
        <v>0</v>
      </c>
      <c r="U18" s="93"/>
    </row>
    <row r="19" spans="1:21" ht="22" customHeight="1">
      <c r="A19" s="288"/>
      <c r="B19" s="499"/>
      <c r="C19" s="500"/>
      <c r="D19" s="401" t="str">
        <f>IF(B18="","",Lan!$F$58)</f>
        <v/>
      </c>
      <c r="E19" s="95"/>
      <c r="F19" s="95"/>
      <c r="G19" s="95"/>
      <c r="H19" s="95"/>
      <c r="I19" s="95"/>
      <c r="J19" s="95"/>
      <c r="K19" s="95"/>
      <c r="L19" s="95"/>
      <c r="M19" s="95"/>
      <c r="N19" s="95"/>
      <c r="O19" s="95"/>
      <c r="P19" s="95"/>
      <c r="Q19" s="401" t="str">
        <f>IF(B18="","",IFERROR(IF('O5'!$H$14=Data!$J$4,T19,IF('O5'!$H$14=Data!$J$2,SUMIF('KPI5'!E18:P18,"&lt;&gt;",E19:P19),IF('O5'!$H$14=Data!$J$3,AVERAGEIF(E19:P19,"&lt;&gt;",E19:P19)))),0))</f>
        <v/>
      </c>
      <c r="R19" s="403" t="str">
        <f t="array" ref="R19">IF(B18="","",IFERROR(IF('O5'!$H$14=Data!$J$4,INDEX('KPI5'!E19:P19,COUNT(E19:P19)),IF('O5'!$H$14=Data!$J$2,SUM('KPI5'!E19:P19),IF('O5'!$H$14=Data!$J$3,AVERAGE(E19:P19)))),0))</f>
        <v/>
      </c>
      <c r="T19" s="93">
        <f>IF(P18&lt;&gt;"",P19,IF(O18&lt;&gt;"",O19,IF(N18&lt;&gt;"",N19,IF(M18&lt;&gt;"",M19,IF(L18&lt;&gt;"",L19,IF(K18&lt;&gt;"",K19,IF(J18&lt;&gt;"",J19,IF(I18&lt;&gt;"",I19,IF(H18&lt;&gt;"",H19,IF(G18&lt;&gt;"",G19,IF(F18&lt;&gt;"",F19,IF(E18&lt;&gt;"",E19,0))))))))))))</f>
        <v>0</v>
      </c>
      <c r="U19" s="93"/>
    </row>
    <row r="20" spans="1:21" s="309" customFormat="1" ht="22" customHeight="1" thickBot="1">
      <c r="B20" s="505"/>
      <c r="C20" s="506"/>
      <c r="D20" s="214" t="str">
        <f>IF(B18="","","%")</f>
        <v/>
      </c>
      <c r="E20" s="215" t="str">
        <f t="shared" ref="E20:R20" si="2">IFERROR(IF($B18="","",E18/E19),"")</f>
        <v/>
      </c>
      <c r="F20" s="215" t="str">
        <f t="shared" si="2"/>
        <v/>
      </c>
      <c r="G20" s="215" t="str">
        <f t="shared" si="2"/>
        <v/>
      </c>
      <c r="H20" s="215" t="str">
        <f t="shared" si="2"/>
        <v/>
      </c>
      <c r="I20" s="215" t="str">
        <f t="shared" si="2"/>
        <v/>
      </c>
      <c r="J20" s="215" t="str">
        <f t="shared" si="2"/>
        <v/>
      </c>
      <c r="K20" s="215" t="str">
        <f t="shared" si="2"/>
        <v/>
      </c>
      <c r="L20" s="215" t="str">
        <f t="shared" si="2"/>
        <v/>
      </c>
      <c r="M20" s="215" t="str">
        <f t="shared" si="2"/>
        <v/>
      </c>
      <c r="N20" s="215" t="str">
        <f t="shared" si="2"/>
        <v/>
      </c>
      <c r="O20" s="215" t="str">
        <f t="shared" si="2"/>
        <v/>
      </c>
      <c r="P20" s="215" t="str">
        <f t="shared" si="2"/>
        <v/>
      </c>
      <c r="Q20" s="215" t="str">
        <f t="shared" si="2"/>
        <v/>
      </c>
      <c r="R20" s="215" t="str">
        <f t="shared" si="2"/>
        <v/>
      </c>
      <c r="T20" s="416"/>
      <c r="U20" s="416"/>
    </row>
    <row r="21" spans="1:21" ht="22" customHeight="1">
      <c r="A21" s="288"/>
      <c r="B21" s="497" t="str">
        <f>IF('O5'!B15="","",'O5'!B15)</f>
        <v/>
      </c>
      <c r="C21" s="498"/>
      <c r="D21" s="400" t="str">
        <f>IF(B21="","",Lan!$F$57)</f>
        <v/>
      </c>
      <c r="E21" s="94"/>
      <c r="F21" s="94"/>
      <c r="G21" s="94"/>
      <c r="H21" s="94"/>
      <c r="I21" s="94"/>
      <c r="J21" s="94"/>
      <c r="K21" s="94"/>
      <c r="L21" s="94"/>
      <c r="M21" s="94"/>
      <c r="N21" s="94"/>
      <c r="O21" s="94"/>
      <c r="P21" s="94"/>
      <c r="Q21" s="402" t="str">
        <f t="array" ref="Q21">IF(B21="","",IFERROR(IF('O5'!$H$15=Data!$J$4,INDEX('KPI5'!E21:P21,COUNT(E21:P21)),IF('O5'!$H$15=Data!$J$2,SUM('KPI5'!E21:P21),IF('O5'!$H$15=Data!$J$3,AVERAGEIF(E21:P21,"&lt;&gt;",E21:P21)))),0))</f>
        <v/>
      </c>
      <c r="R21" s="402" t="str">
        <f t="array" ref="R21">IF(B21="","",IFERROR(IF('O5'!$H$15=Data!$J$4,INDEX('KPI5'!E21:P21,COUNT(E21:P21)),IF('O5'!$H$15=Data!$J$2,SUM('KPI5'!E21:P21),IF('O5'!$H$15=Data!$J$3,AVERAGEIF(E21:P21,"&lt;&gt;",E21:P21)))),0))</f>
        <v/>
      </c>
      <c r="T21" s="93">
        <f>'O5'!G15</f>
        <v>0</v>
      </c>
      <c r="U21" s="93"/>
    </row>
    <row r="22" spans="1:21" ht="22" customHeight="1">
      <c r="A22" s="288"/>
      <c r="B22" s="499"/>
      <c r="C22" s="500"/>
      <c r="D22" s="401" t="str">
        <f>IF(B21="","",Lan!$F$58)</f>
        <v/>
      </c>
      <c r="E22" s="95"/>
      <c r="F22" s="95"/>
      <c r="G22" s="95"/>
      <c r="H22" s="95"/>
      <c r="I22" s="95"/>
      <c r="J22" s="95"/>
      <c r="K22" s="95"/>
      <c r="L22" s="95"/>
      <c r="M22" s="95"/>
      <c r="N22" s="95"/>
      <c r="O22" s="95"/>
      <c r="P22" s="95"/>
      <c r="Q22" s="401" t="str">
        <f>IF(B21="","",IFERROR(IF('O5'!$H$15=Data!$J$4,T22,IF('O5'!$H$15=Data!$J$2,SUMIF('KPI5'!E21:P21,"&lt;&gt;",E22:P22),IF('O5'!$H$15=Data!$J$3,AVERAGEIF(E22:P22,"&lt;&gt;",E22:P22)))),0))</f>
        <v/>
      </c>
      <c r="R22" s="403" t="str">
        <f t="array" ref="R22">IF(B21="","",IFERROR(IF('O5'!$H$15=Data!$J$4,INDEX('KPI5'!E22:P22,COUNT(E22:P22)),IF('O5'!$H$15=Data!$J$2,SUM('KPI5'!E22:P22),IF('O5'!$H$15=Data!$J$3,AVERAGE(E22:P22)))),0))</f>
        <v/>
      </c>
      <c r="T22" s="93">
        <f>IF(P21&lt;&gt;"",P22,IF(O21&lt;&gt;"",O22,IF(N21&lt;&gt;"",N22,IF(M21&lt;&gt;"",M22,IF(L21&lt;&gt;"",L22,IF(K21&lt;&gt;"",K22,IF(J21&lt;&gt;"",J22,IF(I21&lt;&gt;"",I22,IF(H21&lt;&gt;"",H22,IF(G21&lt;&gt;"",G22,IF(F21&lt;&gt;"",F22,IF(E21&lt;&gt;"",E22,0))))))))))))</f>
        <v>0</v>
      </c>
      <c r="U22" s="93"/>
    </row>
    <row r="23" spans="1:21" s="309" customFormat="1" ht="22" customHeight="1" thickBot="1">
      <c r="B23" s="501"/>
      <c r="C23" s="502"/>
      <c r="D23" s="216" t="str">
        <f>IF(B21="","","%")</f>
        <v/>
      </c>
      <c r="E23" s="215" t="str">
        <f t="shared" ref="E23:R23" si="3">IFERROR(IF($B21="","",E21/E22),"")</f>
        <v/>
      </c>
      <c r="F23" s="215" t="str">
        <f t="shared" si="3"/>
        <v/>
      </c>
      <c r="G23" s="215" t="str">
        <f t="shared" si="3"/>
        <v/>
      </c>
      <c r="H23" s="215" t="str">
        <f t="shared" si="3"/>
        <v/>
      </c>
      <c r="I23" s="215" t="str">
        <f t="shared" si="3"/>
        <v/>
      </c>
      <c r="J23" s="215" t="str">
        <f t="shared" si="3"/>
        <v/>
      </c>
      <c r="K23" s="215" t="str">
        <f t="shared" si="3"/>
        <v/>
      </c>
      <c r="L23" s="215" t="str">
        <f t="shared" si="3"/>
        <v/>
      </c>
      <c r="M23" s="215" t="str">
        <f t="shared" si="3"/>
        <v/>
      </c>
      <c r="N23" s="215" t="str">
        <f t="shared" si="3"/>
        <v/>
      </c>
      <c r="O23" s="215" t="str">
        <f t="shared" si="3"/>
        <v/>
      </c>
      <c r="P23" s="215" t="str">
        <f t="shared" si="3"/>
        <v/>
      </c>
      <c r="Q23" s="215" t="str">
        <f t="shared" si="3"/>
        <v/>
      </c>
      <c r="R23" s="215" t="str">
        <f t="shared" si="3"/>
        <v/>
      </c>
      <c r="T23" s="416"/>
      <c r="U23" s="416"/>
    </row>
    <row r="24" spans="1:21" ht="22" customHeight="1">
      <c r="A24" s="288"/>
      <c r="B24" s="497" t="str">
        <f>IF('O5'!B16="","",'O5'!B16)</f>
        <v/>
      </c>
      <c r="C24" s="498"/>
      <c r="D24" s="400" t="str">
        <f>IF(B24="","",Lan!$F$57)</f>
        <v/>
      </c>
      <c r="E24" s="94"/>
      <c r="F24" s="94"/>
      <c r="G24" s="94"/>
      <c r="H24" s="94"/>
      <c r="I24" s="94"/>
      <c r="J24" s="94"/>
      <c r="K24" s="94"/>
      <c r="L24" s="94"/>
      <c r="M24" s="94"/>
      <c r="N24" s="94"/>
      <c r="O24" s="94"/>
      <c r="P24" s="94"/>
      <c r="Q24" s="402" t="str">
        <f t="array" ref="Q24">IF(B24="","",IFERROR(IF('O5'!$H$16=Data!$J$4,INDEX('KPI5'!E24:P24,COUNT(E24:P24)),IF('O5'!$H$16=Data!$J$2,SUM('KPI5'!E24:P24),IF('O5'!$H$16=Data!$J$3,AVERAGEIF(E24:P24,"&lt;&gt;",E24:P24)))),0))</f>
        <v/>
      </c>
      <c r="R24" s="402" t="str">
        <f t="array" ref="R24">IF(B24="","",IFERROR(IF('O5'!$H$16=Data!$J$4,INDEX('KPI5'!E24:P24,COUNT(E24:P24)),IF('O5'!$H$16=Data!$J$2,SUM('KPI5'!E24:P24),IF('O5'!$H$16=Data!$J$3,AVERAGEIF(E24:P24,"&lt;&gt;",E24:P24)))),0))</f>
        <v/>
      </c>
      <c r="T24" s="93">
        <f>'O5'!G16</f>
        <v>0</v>
      </c>
      <c r="U24" s="93"/>
    </row>
    <row r="25" spans="1:21" ht="22" customHeight="1">
      <c r="A25" s="288"/>
      <c r="B25" s="499"/>
      <c r="C25" s="500"/>
      <c r="D25" s="401" t="str">
        <f>IF(B24="","",Lan!$F$58)</f>
        <v/>
      </c>
      <c r="E25" s="95"/>
      <c r="F25" s="95"/>
      <c r="G25" s="95"/>
      <c r="H25" s="95"/>
      <c r="I25" s="95"/>
      <c r="J25" s="95"/>
      <c r="K25" s="95"/>
      <c r="L25" s="95"/>
      <c r="M25" s="95"/>
      <c r="N25" s="95"/>
      <c r="O25" s="95"/>
      <c r="P25" s="95"/>
      <c r="Q25" s="401" t="str">
        <f>IF(B24="","",IFERROR(IF('O5'!$H$16=Data!$J$4,T25,IF('O5'!$H$16=Data!$J$2,SUMIF('KPI5'!E24:P24,"&lt;&gt;",E25:P25),IF('O5'!$H$16=Data!$J$3,AVERAGEIF(E25:P25,"&lt;&gt;",E25:P25)))),0))</f>
        <v/>
      </c>
      <c r="R25" s="403" t="str">
        <f t="array" ref="R25">IF(B24="","",IFERROR(IF('O5'!$H$16=Data!$J$4,INDEX('KPI5'!E25:P25,COUNT(E25:P25)),IF('O5'!$H$16=Data!$J$2,SUM('KPI5'!E25:P25),IF('O5'!$H$16=Data!$J$3,AVERAGE(E25:P25)))),0))</f>
        <v/>
      </c>
      <c r="T25" s="93">
        <f>IF(P24&lt;&gt;"",P25,IF(O24&lt;&gt;"",O25,IF(N24&lt;&gt;"",N25,IF(M24&lt;&gt;"",M25,IF(L24&lt;&gt;"",L25,IF(K24&lt;&gt;"",K25,IF(J24&lt;&gt;"",J25,IF(I24&lt;&gt;"",I25,IF(H24&lt;&gt;"",H25,IF(G24&lt;&gt;"",G25,IF(F24&lt;&gt;"",F25,IF(E24&lt;&gt;"",E25,0))))))))))))</f>
        <v>0</v>
      </c>
      <c r="U25" s="93"/>
    </row>
    <row r="26" spans="1:21" ht="22" customHeight="1" thickBot="1">
      <c r="A26" s="288"/>
      <c r="B26" s="501"/>
      <c r="C26" s="502"/>
      <c r="D26" s="422" t="str">
        <f>IF(B24="","","%")</f>
        <v/>
      </c>
      <c r="E26" s="421" t="str">
        <f t="shared" ref="E26:R26" si="4">IFERROR(IF($B24="","",E24/E25),"")</f>
        <v/>
      </c>
      <c r="F26" s="421" t="str">
        <f t="shared" si="4"/>
        <v/>
      </c>
      <c r="G26" s="421" t="str">
        <f t="shared" si="4"/>
        <v/>
      </c>
      <c r="H26" s="421" t="str">
        <f t="shared" si="4"/>
        <v/>
      </c>
      <c r="I26" s="421" t="str">
        <f t="shared" si="4"/>
        <v/>
      </c>
      <c r="J26" s="421" t="str">
        <f t="shared" si="4"/>
        <v/>
      </c>
      <c r="K26" s="421" t="str">
        <f t="shared" si="4"/>
        <v/>
      </c>
      <c r="L26" s="421" t="str">
        <f t="shared" si="4"/>
        <v/>
      </c>
      <c r="M26" s="421" t="str">
        <f t="shared" si="4"/>
        <v/>
      </c>
      <c r="N26" s="421" t="str">
        <f t="shared" si="4"/>
        <v/>
      </c>
      <c r="O26" s="421" t="str">
        <f t="shared" si="4"/>
        <v/>
      </c>
      <c r="P26" s="421" t="str">
        <f t="shared" si="4"/>
        <v/>
      </c>
      <c r="Q26" s="421" t="str">
        <f t="shared" si="4"/>
        <v/>
      </c>
      <c r="R26" s="421" t="str">
        <f t="shared" si="4"/>
        <v/>
      </c>
      <c r="T26" s="93"/>
      <c r="U26" s="93"/>
    </row>
    <row r="27" spans="1:21" ht="22" customHeight="1">
      <c r="A27" s="288"/>
      <c r="B27" s="497" t="str">
        <f>IF('O5'!B17="","",'O5'!B17)</f>
        <v/>
      </c>
      <c r="C27" s="498"/>
      <c r="D27" s="400" t="str">
        <f>IF(B27="","",Lan!$F$57)</f>
        <v/>
      </c>
      <c r="E27" s="94"/>
      <c r="F27" s="94"/>
      <c r="G27" s="94"/>
      <c r="H27" s="94"/>
      <c r="I27" s="94"/>
      <c r="J27" s="94"/>
      <c r="K27" s="94"/>
      <c r="L27" s="94"/>
      <c r="M27" s="94"/>
      <c r="N27" s="94"/>
      <c r="O27" s="94"/>
      <c r="P27" s="94"/>
      <c r="Q27" s="402" t="str">
        <f t="array" ref="Q27">IF(B27="","",IFERROR(IF('O5'!$H$17=Data!$J$4,INDEX('KPI5'!E27:P27,COUNT(E27:P27)),IF('O5'!$H$17=Data!$J$2,SUM('KPI5'!E27:P27),IF('O5'!$H$17=Data!$J$3,AVERAGEIF(E27:P27,"&lt;&gt;",E27:P27)))),0))</f>
        <v/>
      </c>
      <c r="R27" s="402" t="str">
        <f t="array" ref="R27">IF(B27="","",IFERROR(IF('O5'!$H$17=Data!$J$4,INDEX('KPI5'!E27:P27,COUNT(E27:P27)),IF('O5'!$H$17=Data!$J$2,SUM('KPI5'!E27:P27),IF('O5'!$H$17=Data!$J$3,AVERAGEIF(E27:P27,"&lt;&gt;",E27:P27)))),0))</f>
        <v/>
      </c>
      <c r="T27" s="93">
        <f>'O5'!G17</f>
        <v>0</v>
      </c>
      <c r="U27" s="93"/>
    </row>
    <row r="28" spans="1:21" ht="22" customHeight="1">
      <c r="A28" s="288"/>
      <c r="B28" s="499"/>
      <c r="C28" s="500"/>
      <c r="D28" s="401" t="str">
        <f>IF(B27="","",Lan!$F$58)</f>
        <v/>
      </c>
      <c r="E28" s="95"/>
      <c r="F28" s="95"/>
      <c r="G28" s="95"/>
      <c r="H28" s="95"/>
      <c r="I28" s="95"/>
      <c r="J28" s="95"/>
      <c r="K28" s="95"/>
      <c r="L28" s="95"/>
      <c r="M28" s="95"/>
      <c r="N28" s="95"/>
      <c r="O28" s="95"/>
      <c r="P28" s="95"/>
      <c r="Q28" s="401" t="str">
        <f>IF(B27="","",IFERROR(IF('O5'!$H$17=Data!$J$4,T28,IF('O5'!$H$17=Data!$J$2,SUMIF('KPI5'!E27:P27,"&lt;&gt;",E28:P28),IF('O5'!$H$17=Data!$J$3,AVERAGEIF(E28:P28,"&lt;&gt;",E28:P28)))),0))</f>
        <v/>
      </c>
      <c r="R28" s="403" t="str">
        <f t="array" ref="R28">IF(B27="","",IFERROR(IF('O5'!$H$17=Data!$J$4,INDEX('KPI5'!E28:P28,COUNT(E28:P28)),IF('O5'!$H$17=Data!$J$2,SUM('KPI5'!E28:P28),IF('O5'!$H$17=Data!$J$3,AVERAGE(E28:P28)))),0))</f>
        <v/>
      </c>
      <c r="T28" s="93">
        <f>IF(P27&lt;&gt;"",P28,IF(O27&lt;&gt;"",O28,IF(N27&lt;&gt;"",N28,IF(M27&lt;&gt;"",M28,IF(L27&lt;&gt;"",L28,IF(K27&lt;&gt;"",K28,IF(J27&lt;&gt;"",J28,IF(I27&lt;&gt;"",I28,IF(H27&lt;&gt;"",H28,IF(G27&lt;&gt;"",G28,IF(F27&lt;&gt;"",F28,IF(E27&lt;&gt;"",E28,0))))))))))))</f>
        <v>0</v>
      </c>
      <c r="U28" s="93"/>
    </row>
    <row r="29" spans="1:21" s="309" customFormat="1" ht="22" customHeight="1" thickBot="1">
      <c r="B29" s="501"/>
      <c r="C29" s="502"/>
      <c r="D29" s="216" t="str">
        <f>IF(B27="","","%")</f>
        <v/>
      </c>
      <c r="E29" s="215" t="str">
        <f t="shared" ref="E29:R29" si="5">IFERROR(IF($B27="","",E27/E28),"")</f>
        <v/>
      </c>
      <c r="F29" s="215" t="str">
        <f t="shared" si="5"/>
        <v/>
      </c>
      <c r="G29" s="215" t="str">
        <f t="shared" si="5"/>
        <v/>
      </c>
      <c r="H29" s="215" t="str">
        <f t="shared" si="5"/>
        <v/>
      </c>
      <c r="I29" s="215" t="str">
        <f t="shared" si="5"/>
        <v/>
      </c>
      <c r="J29" s="215" t="str">
        <f t="shared" si="5"/>
        <v/>
      </c>
      <c r="K29" s="215" t="str">
        <f t="shared" si="5"/>
        <v/>
      </c>
      <c r="L29" s="215" t="str">
        <f t="shared" si="5"/>
        <v/>
      </c>
      <c r="M29" s="215" t="str">
        <f t="shared" si="5"/>
        <v/>
      </c>
      <c r="N29" s="215" t="str">
        <f t="shared" si="5"/>
        <v/>
      </c>
      <c r="O29" s="215" t="str">
        <f t="shared" si="5"/>
        <v/>
      </c>
      <c r="P29" s="215" t="str">
        <f t="shared" si="5"/>
        <v/>
      </c>
      <c r="Q29" s="215" t="str">
        <f t="shared" si="5"/>
        <v/>
      </c>
      <c r="R29" s="215" t="str">
        <f t="shared" si="5"/>
        <v/>
      </c>
      <c r="T29" s="416"/>
      <c r="U29" s="416"/>
    </row>
    <row r="30" spans="1:21" ht="22" customHeight="1">
      <c r="A30" s="288"/>
      <c r="B30" s="497" t="str">
        <f>IF('O5'!B18="","",'O5'!B18)</f>
        <v/>
      </c>
      <c r="C30" s="498"/>
      <c r="D30" s="400" t="str">
        <f>IF(B30="","",Lan!$F$57)</f>
        <v/>
      </c>
      <c r="E30" s="94"/>
      <c r="F30" s="94"/>
      <c r="G30" s="94"/>
      <c r="H30" s="94"/>
      <c r="I30" s="94"/>
      <c r="J30" s="94"/>
      <c r="K30" s="94"/>
      <c r="L30" s="94"/>
      <c r="M30" s="94"/>
      <c r="N30" s="94"/>
      <c r="O30" s="94"/>
      <c r="P30" s="94"/>
      <c r="Q30" s="402" t="str">
        <f t="array" ref="Q30">IF(B30="","",IFERROR(IF('O5'!$H$18=Data!$J$4,INDEX('KPI5'!E30:P30,COUNT(E30:P30)),IF('O5'!$H$18=Data!$J$2,SUM('KPI5'!E30:P30),IF('O5'!$H$18=Data!$J$3,AVERAGEIF(E30:P30,"&lt;&gt;",E30:P30)))),0))</f>
        <v/>
      </c>
      <c r="R30" s="402" t="str">
        <f t="array" ref="R30">IF(B30="","",IFERROR(IF('O5'!$H$18=Data!$J$4,INDEX('KPI5'!E30:P30,COUNT(E30:P30)),IF('O5'!$H$18=Data!$J$2,SUM('KPI5'!E30:P30),IF('O5'!$H$18=Data!$J$3,AVERAGEIF(E30:P30,"&lt;&gt;",E30:P30)))),0))</f>
        <v/>
      </c>
      <c r="T30" s="93">
        <f>'O5'!G18</f>
        <v>0</v>
      </c>
      <c r="U30" s="93"/>
    </row>
    <row r="31" spans="1:21" ht="22" customHeight="1">
      <c r="A31" s="288"/>
      <c r="B31" s="499"/>
      <c r="C31" s="500"/>
      <c r="D31" s="401" t="str">
        <f>IF(B30="","",Lan!$F$58)</f>
        <v/>
      </c>
      <c r="E31" s="95"/>
      <c r="F31" s="95"/>
      <c r="G31" s="95"/>
      <c r="H31" s="95"/>
      <c r="I31" s="95"/>
      <c r="J31" s="95"/>
      <c r="K31" s="95"/>
      <c r="L31" s="95"/>
      <c r="M31" s="95"/>
      <c r="N31" s="95"/>
      <c r="O31" s="95"/>
      <c r="P31" s="95"/>
      <c r="Q31" s="401" t="str">
        <f>IF(B30="","",IFERROR(IF('O5'!$H$18=Data!$J$4,T31,IF('O5'!$H$18=Data!$J$2,SUMIF('KPI5'!E30:P30,"&lt;&gt;",E31:P31),IF('O5'!$H$18=Data!$J$3,AVERAGEIF(E31:P31,"&lt;&gt;",E31:P31)))),0))</f>
        <v/>
      </c>
      <c r="R31" s="403" t="str">
        <f t="array" ref="R31">IF(B30="","",IFERROR(IF('O5'!$H$18=Data!$J$4,INDEX('KPI5'!E31:P31,COUNT(E31:P31)),IF('O5'!$H$18=Data!$J$2,SUM('KPI5'!E31:P31),IF('O5'!$H$18=Data!$J$3,AVERAGE(E31:P31)))),0))</f>
        <v/>
      </c>
      <c r="T31" s="93">
        <f>IF(P30&lt;&gt;"",P31,IF(O30&lt;&gt;"",O31,IF(N30&lt;&gt;"",N31,IF(M30&lt;&gt;"",M31,IF(L30&lt;&gt;"",L31,IF(K30&lt;&gt;"",K31,IF(J30&lt;&gt;"",J31,IF(I30&lt;&gt;"",I31,IF(H30&lt;&gt;"",H31,IF(G30&lt;&gt;"",G31,IF(F30&lt;&gt;"",F31,IF(E30&lt;&gt;"",E31,0))))))))))))</f>
        <v>0</v>
      </c>
      <c r="U31" s="93"/>
    </row>
    <row r="32" spans="1:21" s="309" customFormat="1" ht="22" customHeight="1" thickBot="1">
      <c r="B32" s="501"/>
      <c r="C32" s="502"/>
      <c r="D32" s="216" t="str">
        <f>IF(B30="","","%")</f>
        <v/>
      </c>
      <c r="E32" s="215" t="str">
        <f t="shared" ref="E32:R32" si="6">IFERROR(IF($B30="","",E30/E31),"")</f>
        <v/>
      </c>
      <c r="F32" s="215" t="str">
        <f t="shared" si="6"/>
        <v/>
      </c>
      <c r="G32" s="215" t="str">
        <f t="shared" si="6"/>
        <v/>
      </c>
      <c r="H32" s="215" t="str">
        <f t="shared" si="6"/>
        <v/>
      </c>
      <c r="I32" s="215" t="str">
        <f t="shared" si="6"/>
        <v/>
      </c>
      <c r="J32" s="215" t="str">
        <f t="shared" si="6"/>
        <v/>
      </c>
      <c r="K32" s="215" t="str">
        <f t="shared" si="6"/>
        <v/>
      </c>
      <c r="L32" s="215" t="str">
        <f t="shared" si="6"/>
        <v/>
      </c>
      <c r="M32" s="215" t="str">
        <f t="shared" si="6"/>
        <v/>
      </c>
      <c r="N32" s="215" t="str">
        <f t="shared" si="6"/>
        <v/>
      </c>
      <c r="O32" s="215" t="str">
        <f t="shared" si="6"/>
        <v/>
      </c>
      <c r="P32" s="215" t="str">
        <f t="shared" si="6"/>
        <v/>
      </c>
      <c r="Q32" s="215" t="str">
        <f t="shared" si="6"/>
        <v/>
      </c>
      <c r="R32" s="215" t="str">
        <f t="shared" si="6"/>
        <v/>
      </c>
      <c r="T32" s="416"/>
      <c r="U32" s="416"/>
    </row>
    <row r="33" spans="1:21" ht="22" customHeight="1">
      <c r="A33" s="288"/>
      <c r="B33" s="497" t="str">
        <f>IF('O5'!B19="","",'O5'!B19)</f>
        <v/>
      </c>
      <c r="C33" s="498"/>
      <c r="D33" s="400" t="str">
        <f>IF(B33="","",Lan!$F$57)</f>
        <v/>
      </c>
      <c r="E33" s="94"/>
      <c r="F33" s="94"/>
      <c r="G33" s="94"/>
      <c r="H33" s="94"/>
      <c r="I33" s="94"/>
      <c r="J33" s="94"/>
      <c r="K33" s="94"/>
      <c r="L33" s="94"/>
      <c r="M33" s="94"/>
      <c r="N33" s="94"/>
      <c r="O33" s="94"/>
      <c r="P33" s="94"/>
      <c r="Q33" s="402" t="str">
        <f t="array" ref="Q33">IF(B33="","",IFERROR(IF('O5'!$H$19=Data!$J$4,INDEX('KPI5'!E33:P33,COUNT(E33:P33)),IF('O5'!$H$19=Data!$J$2,SUM('KPI5'!E33:P33),IF('O5'!$H$19=Data!$J$3,AVERAGEIF(E33:P33,"&lt;&gt;",E33:P33)))),0))</f>
        <v/>
      </c>
      <c r="R33" s="402" t="str">
        <f t="array" ref="R33">IF(B33="","",IFERROR(IF('O5'!$H$19=Data!$J$4,INDEX('KPI5'!E33:P33,COUNT(E33:P33)),IF('O5'!$H$19=Data!$J$2,SUM('KPI5'!E33:P33),IF('O5'!$H$19=Data!$J$3,AVERAGEIF(E33:P33,"&lt;&gt;",E33:P33)))),0))</f>
        <v/>
      </c>
      <c r="T33" s="93">
        <f>'O5'!G19</f>
        <v>0</v>
      </c>
      <c r="U33" s="93"/>
    </row>
    <row r="34" spans="1:21" ht="22" customHeight="1">
      <c r="A34" s="288"/>
      <c r="B34" s="499"/>
      <c r="C34" s="500"/>
      <c r="D34" s="401" t="str">
        <f>IF(B33="","",Lan!$F$58)</f>
        <v/>
      </c>
      <c r="E34" s="95"/>
      <c r="F34" s="95"/>
      <c r="G34" s="95"/>
      <c r="H34" s="95"/>
      <c r="I34" s="95"/>
      <c r="J34" s="95"/>
      <c r="K34" s="95"/>
      <c r="L34" s="95"/>
      <c r="M34" s="95"/>
      <c r="N34" s="95"/>
      <c r="O34" s="95"/>
      <c r="P34" s="95"/>
      <c r="Q34" s="401" t="str">
        <f>IF(B33="","",IFERROR(IF('O5'!$H$19=Data!$J$4,T34,IF('O5'!$H$19=Data!$J$2,SUMIF('KPI5'!E33:P33,"&lt;&gt;",E34:P34),IF('O5'!$H$19=Data!$J$3,AVERAGEIF(E34:P34,"&lt;&gt;",E34:P34)))),0))</f>
        <v/>
      </c>
      <c r="R34" s="403" t="str">
        <f t="array" ref="R34">IF(B33="","",IFERROR(IF('O5'!$H$19=Data!$J$4,INDEX('KPI5'!E34:P34,COUNT(E34:P34)),IF('O5'!$H$19=Data!$J$2,SUM('KPI5'!E34:P34),IF('O5'!$H$19=Data!$J$3,AVERAGE(E34:P34)))),0))</f>
        <v/>
      </c>
      <c r="T34" s="93">
        <f>IF(P33&lt;&gt;"",P34,IF(O33&lt;&gt;"",O34,IF(N33&lt;&gt;"",N34,IF(M33&lt;&gt;"",M34,IF(L33&lt;&gt;"",L34,IF(K33&lt;&gt;"",K34,IF(J33&lt;&gt;"",J34,IF(I33&lt;&gt;"",I34,IF(H33&lt;&gt;"",H34,IF(G33&lt;&gt;"",G34,IF(F33&lt;&gt;"",F34,IF(E33&lt;&gt;"",E34,0))))))))))))</f>
        <v>0</v>
      </c>
      <c r="U34" s="93"/>
    </row>
    <row r="35" spans="1:21" s="309" customFormat="1" ht="22" customHeight="1" thickBot="1">
      <c r="B35" s="501"/>
      <c r="C35" s="502"/>
      <c r="D35" s="216" t="str">
        <f>IF(B33="","","%")</f>
        <v/>
      </c>
      <c r="E35" s="215" t="str">
        <f t="shared" ref="E35:R35" si="7">IFERROR(IF($B33="","",E33/E34),"")</f>
        <v/>
      </c>
      <c r="F35" s="215" t="str">
        <f t="shared" si="7"/>
        <v/>
      </c>
      <c r="G35" s="215" t="str">
        <f t="shared" si="7"/>
        <v/>
      </c>
      <c r="H35" s="215" t="str">
        <f t="shared" si="7"/>
        <v/>
      </c>
      <c r="I35" s="215" t="str">
        <f t="shared" si="7"/>
        <v/>
      </c>
      <c r="J35" s="215" t="str">
        <f t="shared" si="7"/>
        <v/>
      </c>
      <c r="K35" s="215" t="str">
        <f t="shared" si="7"/>
        <v/>
      </c>
      <c r="L35" s="215" t="str">
        <f t="shared" si="7"/>
        <v/>
      </c>
      <c r="M35" s="215" t="str">
        <f t="shared" si="7"/>
        <v/>
      </c>
      <c r="N35" s="215" t="str">
        <f t="shared" si="7"/>
        <v/>
      </c>
      <c r="O35" s="215" t="str">
        <f t="shared" si="7"/>
        <v/>
      </c>
      <c r="P35" s="215" t="str">
        <f t="shared" si="7"/>
        <v/>
      </c>
      <c r="Q35" s="215" t="str">
        <f t="shared" si="7"/>
        <v/>
      </c>
      <c r="R35" s="215" t="str">
        <f t="shared" si="7"/>
        <v/>
      </c>
      <c r="T35" s="416"/>
      <c r="U35" s="416"/>
    </row>
    <row r="36" spans="1:21" ht="22" customHeight="1">
      <c r="A36" s="288"/>
      <c r="B36" s="497" t="str">
        <f>IF('O5'!B20="","",'O5'!B20)</f>
        <v/>
      </c>
      <c r="C36" s="498"/>
      <c r="D36" s="400" t="str">
        <f>IF(B36="","",Lan!$F$57)</f>
        <v/>
      </c>
      <c r="E36" s="94"/>
      <c r="F36" s="94"/>
      <c r="G36" s="94"/>
      <c r="H36" s="94"/>
      <c r="I36" s="94"/>
      <c r="J36" s="94"/>
      <c r="K36" s="94"/>
      <c r="L36" s="94"/>
      <c r="M36" s="94"/>
      <c r="N36" s="94"/>
      <c r="O36" s="94"/>
      <c r="P36" s="94"/>
      <c r="Q36" s="402" t="str">
        <f t="array" ref="Q36">IF(B36="","",IFERROR(IF('O5'!$H$20=Data!$J$4,INDEX('KPI5'!E36:P36,COUNT(E36:P36)),IF('O5'!$H$20=Data!$J$2,SUM('KPI5'!E36:P36),IF('O5'!$H$20=Data!$J$3,AVERAGEIF(E36:P36,"&lt;&gt;",E36:P36)))),0))</f>
        <v/>
      </c>
      <c r="R36" s="402" t="str">
        <f t="array" ref="R36">IF(B36="","",IFERROR(IF('O5'!$H$20=Data!$J$4,INDEX('KPI5'!E36:P36,COUNT(E36:P36)),IF('O5'!$H$20=Data!$J$2,SUM('KPI5'!E36:P36),IF('O5'!$H$20=Data!$J$3,AVERAGEIF(E36:P36,"&lt;&gt;",E36:P36)))),0))</f>
        <v/>
      </c>
      <c r="T36" s="93">
        <f>'O5'!G20</f>
        <v>0</v>
      </c>
      <c r="U36" s="93"/>
    </row>
    <row r="37" spans="1:21" ht="22" customHeight="1">
      <c r="A37" s="288"/>
      <c r="B37" s="499"/>
      <c r="C37" s="500"/>
      <c r="D37" s="401" t="str">
        <f>IF(B36="","",Lan!$F$58)</f>
        <v/>
      </c>
      <c r="E37" s="95"/>
      <c r="F37" s="95"/>
      <c r="G37" s="95"/>
      <c r="H37" s="95"/>
      <c r="I37" s="95"/>
      <c r="J37" s="95"/>
      <c r="K37" s="95"/>
      <c r="L37" s="95"/>
      <c r="M37" s="95"/>
      <c r="N37" s="95"/>
      <c r="O37" s="95"/>
      <c r="P37" s="95"/>
      <c r="Q37" s="401" t="str">
        <f>IF(B36="","",IFERROR(IF('O5'!$H$20=Data!$J$4,T37,IF('O5'!$H$20=Data!$J$2,SUMIF('KPI5'!E36:P36,"&lt;&gt;",E37:P37),IF('O5'!$H$20=Data!$J$3,AVERAGEIF(E37:P37,"&lt;&gt;",E37:P37)))),0))</f>
        <v/>
      </c>
      <c r="R37" s="403" t="str">
        <f t="array" ref="R37">IF(B36="","",IFERROR(IF('O5'!$H$20=Data!$J$4,INDEX('KPI5'!E37:P37,COUNT(E37:P37)),IF('O5'!$H$20=Data!$J$2,SUM('KPI5'!E37:P37),IF('O5'!$H$20=Data!$J$3,AVERAGE(E37:P37)))),0))</f>
        <v/>
      </c>
      <c r="T37" s="93">
        <f>IF(P36&lt;&gt;"",P37,IF(O36&lt;&gt;"",O37,IF(N36&lt;&gt;"",N37,IF(M36&lt;&gt;"",M37,IF(L36&lt;&gt;"",L37,IF(K36&lt;&gt;"",K37,IF(J36&lt;&gt;"",J37,IF(I36&lt;&gt;"",I37,IF(H36&lt;&gt;"",H37,IF(G36&lt;&gt;"",G37,IF(F36&lt;&gt;"",F37,IF(E36&lt;&gt;"",E37,0))))))))))))</f>
        <v>0</v>
      </c>
      <c r="U37" s="93"/>
    </row>
    <row r="38" spans="1:21" s="309" customFormat="1" ht="22" customHeight="1" thickBot="1">
      <c r="B38" s="501"/>
      <c r="C38" s="502"/>
      <c r="D38" s="216" t="str">
        <f>IF(B36="","","%")</f>
        <v/>
      </c>
      <c r="E38" s="215" t="str">
        <f t="shared" ref="E38:R38" si="8">IFERROR(IF($B36="","",E36/E37),"")</f>
        <v/>
      </c>
      <c r="F38" s="215" t="str">
        <f t="shared" si="8"/>
        <v/>
      </c>
      <c r="G38" s="215" t="str">
        <f t="shared" si="8"/>
        <v/>
      </c>
      <c r="H38" s="215" t="str">
        <f t="shared" si="8"/>
        <v/>
      </c>
      <c r="I38" s="215" t="str">
        <f t="shared" si="8"/>
        <v/>
      </c>
      <c r="J38" s="215" t="str">
        <f t="shared" si="8"/>
        <v/>
      </c>
      <c r="K38" s="215" t="str">
        <f t="shared" si="8"/>
        <v/>
      </c>
      <c r="L38" s="215" t="str">
        <f t="shared" si="8"/>
        <v/>
      </c>
      <c r="M38" s="215" t="str">
        <f t="shared" si="8"/>
        <v/>
      </c>
      <c r="N38" s="215" t="str">
        <f t="shared" si="8"/>
        <v/>
      </c>
      <c r="O38" s="215" t="str">
        <f t="shared" si="8"/>
        <v/>
      </c>
      <c r="P38" s="215" t="str">
        <f t="shared" si="8"/>
        <v/>
      </c>
      <c r="Q38" s="215" t="str">
        <f t="shared" si="8"/>
        <v/>
      </c>
      <c r="R38" s="215" t="str">
        <f t="shared" si="8"/>
        <v/>
      </c>
      <c r="T38" s="416"/>
      <c r="U38" s="416"/>
    </row>
    <row r="39" spans="1:21" ht="22" customHeight="1">
      <c r="A39" s="288"/>
      <c r="B39" s="497" t="str">
        <f>IF('O5'!B21="","",'O5'!B21)</f>
        <v/>
      </c>
      <c r="C39" s="498"/>
      <c r="D39" s="400" t="str">
        <f>IF(B39="","",Lan!$F$57)</f>
        <v/>
      </c>
      <c r="E39" s="94"/>
      <c r="F39" s="94"/>
      <c r="G39" s="94"/>
      <c r="H39" s="94"/>
      <c r="I39" s="94"/>
      <c r="J39" s="94"/>
      <c r="K39" s="94"/>
      <c r="L39" s="94"/>
      <c r="M39" s="94"/>
      <c r="N39" s="94"/>
      <c r="O39" s="94"/>
      <c r="P39" s="94"/>
      <c r="Q39" s="402" t="str">
        <f t="array" ref="Q39">IF(B39="","",IFERROR(IF('O5'!$H$21=Data!$J$4,INDEX('KPI5'!E39:P39,COUNT(E39:P39)),IF('O5'!$H$21=Data!$J$2,SUM('KPI5'!E39:P39),IF('O5'!$H$21=Data!$J$3,AVERAGEIF(E39:P39,"&lt;&gt;",E39:P39)))),0))</f>
        <v/>
      </c>
      <c r="R39" s="402" t="str">
        <f t="array" ref="R39">IF(B39="","",IFERROR(IF('O5'!$H$21=Data!$J$4,INDEX('KPI5'!E39:P39,COUNT(E39:P39)),IF('O5'!$H$21=Data!$J$2,SUM('KPI5'!E39:P39),IF('O5'!$H$21=Data!$J$3,AVERAGEIF(E39:P39,"&lt;&gt;",E39:P39)))),0))</f>
        <v/>
      </c>
      <c r="T39" s="93">
        <f>'O5'!G21</f>
        <v>0</v>
      </c>
      <c r="U39" s="93"/>
    </row>
    <row r="40" spans="1:21" ht="22" customHeight="1">
      <c r="A40" s="288"/>
      <c r="B40" s="499"/>
      <c r="C40" s="500"/>
      <c r="D40" s="401" t="str">
        <f>IF(B39="","",Lan!$F$58)</f>
        <v/>
      </c>
      <c r="E40" s="95"/>
      <c r="F40" s="95"/>
      <c r="G40" s="95"/>
      <c r="H40" s="95"/>
      <c r="I40" s="95"/>
      <c r="J40" s="95"/>
      <c r="K40" s="95"/>
      <c r="L40" s="95"/>
      <c r="M40" s="95"/>
      <c r="N40" s="95"/>
      <c r="O40" s="95"/>
      <c r="P40" s="95"/>
      <c r="Q40" s="401" t="str">
        <f>IF(B39="","",IFERROR(IF('O5'!$H$21=Data!$J$4,T40,IF('O5'!$H$21=Data!$J$2,SUMIF('KPI5'!E39:P39,"&lt;&gt;",E40:P40),IF('O5'!$H$21=Data!$J$3,AVERAGEIF(E40:P40,"&lt;&gt;",E40:P40)))),0))</f>
        <v/>
      </c>
      <c r="R40" s="403" t="str">
        <f t="array" ref="R40">IF(B39="","",IFERROR(IF('O5'!$H$21=Data!$J$4,INDEX('KPI5'!E40:P40,COUNT(E40:P40)),IF('O5'!$H$21=Data!$J$2,SUM('KPI5'!E40:P40),IF('O5'!$H$21=Data!$J$3,AVERAGE(E40:P40)))),0))</f>
        <v/>
      </c>
      <c r="T40" s="93">
        <f>IF(P39&lt;&gt;"",P40,IF(O39&lt;&gt;"",O40,IF(N39&lt;&gt;"",N40,IF(M39&lt;&gt;"",M40,IF(L39&lt;&gt;"",L40,IF(K39&lt;&gt;"",K40,IF(J39&lt;&gt;"",J40,IF(I39&lt;&gt;"",I40,IF(H39&lt;&gt;"",H40,IF(G39&lt;&gt;"",G40,IF(F39&lt;&gt;"",F40,IF(E39&lt;&gt;"",E40,0))))))))))))</f>
        <v>0</v>
      </c>
      <c r="U40" s="93"/>
    </row>
    <row r="41" spans="1:21" s="309" customFormat="1" ht="22" customHeight="1" thickBot="1">
      <c r="B41" s="501"/>
      <c r="C41" s="502"/>
      <c r="D41" s="216" t="str">
        <f>IF(B39="","","%")</f>
        <v/>
      </c>
      <c r="E41" s="217" t="str">
        <f t="shared" ref="E41:R41" si="9">IFERROR(IF($B39="","",E39/E40),"")</f>
        <v/>
      </c>
      <c r="F41" s="217" t="str">
        <f t="shared" si="9"/>
        <v/>
      </c>
      <c r="G41" s="217" t="str">
        <f t="shared" si="9"/>
        <v/>
      </c>
      <c r="H41" s="217" t="str">
        <f t="shared" si="9"/>
        <v/>
      </c>
      <c r="I41" s="217" t="str">
        <f t="shared" si="9"/>
        <v/>
      </c>
      <c r="J41" s="217" t="str">
        <f t="shared" si="9"/>
        <v/>
      </c>
      <c r="K41" s="217" t="str">
        <f t="shared" si="9"/>
        <v/>
      </c>
      <c r="L41" s="217" t="str">
        <f t="shared" si="9"/>
        <v/>
      </c>
      <c r="M41" s="217" t="str">
        <f t="shared" si="9"/>
        <v/>
      </c>
      <c r="N41" s="217" t="str">
        <f t="shared" si="9"/>
        <v/>
      </c>
      <c r="O41" s="217" t="str">
        <f t="shared" si="9"/>
        <v/>
      </c>
      <c r="P41" s="217" t="str">
        <f t="shared" si="9"/>
        <v/>
      </c>
      <c r="Q41" s="217" t="str">
        <f t="shared" si="9"/>
        <v/>
      </c>
      <c r="R41" s="217" t="str">
        <f t="shared" si="9"/>
        <v/>
      </c>
      <c r="T41" s="416"/>
      <c r="U41" s="416"/>
    </row>
    <row r="42" spans="1:21" ht="21" customHeight="1">
      <c r="A42" s="288"/>
      <c r="B42" s="299"/>
      <c r="C42" s="288"/>
      <c r="D42" s="288"/>
      <c r="E42" s="288"/>
      <c r="F42" s="288"/>
      <c r="G42" s="288"/>
      <c r="H42" s="288"/>
    </row>
    <row r="43" spans="1:21" ht="21" customHeight="1">
      <c r="A43" s="288"/>
      <c r="B43" s="299"/>
      <c r="C43" s="288"/>
      <c r="D43" s="288"/>
      <c r="E43" s="288"/>
      <c r="F43" s="288"/>
      <c r="G43" s="288"/>
      <c r="H43" s="288"/>
    </row>
    <row r="44" spans="1:21" ht="21" customHeight="1">
      <c r="A44" s="288"/>
      <c r="B44" s="299"/>
      <c r="C44" s="288"/>
      <c r="D44" s="288"/>
      <c r="E44" s="288"/>
      <c r="F44" s="288"/>
      <c r="G44" s="288"/>
      <c r="H44" s="288"/>
    </row>
    <row r="45" spans="1:21" ht="21" customHeight="1">
      <c r="A45" s="288"/>
      <c r="B45" s="299"/>
      <c r="C45" s="288"/>
      <c r="D45" s="288"/>
      <c r="E45" s="288"/>
      <c r="F45" s="288"/>
      <c r="G45" s="288"/>
      <c r="H45" s="288"/>
    </row>
    <row r="46" spans="1:21" ht="21" customHeight="1">
      <c r="A46" s="288"/>
      <c r="B46" s="299"/>
      <c r="C46" s="288"/>
      <c r="D46" s="288"/>
      <c r="E46" s="288"/>
      <c r="F46" s="288"/>
      <c r="G46" s="288"/>
      <c r="H46" s="288"/>
    </row>
    <row r="47" spans="1:21" ht="20" customHeight="1">
      <c r="A47" s="288"/>
      <c r="B47" s="299"/>
      <c r="C47" s="288"/>
      <c r="D47" s="288"/>
      <c r="E47" s="288"/>
      <c r="F47" s="288"/>
      <c r="G47" s="288"/>
      <c r="H47" s="288"/>
    </row>
    <row r="48" spans="1:21" ht="20" customHeight="1">
      <c r="A48" s="288"/>
      <c r="B48" s="299"/>
      <c r="C48" s="288"/>
      <c r="D48" s="288"/>
      <c r="E48" s="288"/>
      <c r="F48" s="288"/>
      <c r="G48" s="288"/>
      <c r="H48" s="288"/>
    </row>
    <row r="49" spans="1:8" ht="20" customHeight="1">
      <c r="A49" s="288"/>
      <c r="B49" s="299"/>
      <c r="C49" s="288"/>
      <c r="D49" s="288"/>
      <c r="E49" s="288"/>
      <c r="F49" s="288"/>
      <c r="G49" s="288"/>
      <c r="H49" s="288"/>
    </row>
    <row r="50" spans="1:8" ht="20" customHeight="1">
      <c r="A50" s="288"/>
      <c r="B50" s="299"/>
      <c r="C50" s="288"/>
      <c r="D50" s="288"/>
      <c r="E50" s="288"/>
      <c r="F50" s="288"/>
      <c r="G50" s="288"/>
      <c r="H50" s="288"/>
    </row>
    <row r="51" spans="1:8" ht="20" customHeight="1">
      <c r="A51" s="288"/>
      <c r="B51" s="299"/>
      <c r="C51" s="288"/>
      <c r="D51" s="288"/>
      <c r="E51" s="288"/>
      <c r="F51" s="288"/>
      <c r="G51" s="288"/>
      <c r="H51" s="288"/>
    </row>
    <row r="52" spans="1:8" ht="20" customHeight="1">
      <c r="A52" s="288"/>
      <c r="B52" s="299"/>
      <c r="C52" s="288"/>
      <c r="D52" s="288"/>
      <c r="E52" s="288"/>
      <c r="F52" s="288"/>
      <c r="G52" s="288"/>
      <c r="H52" s="288"/>
    </row>
    <row r="53" spans="1:8" ht="20" customHeight="1">
      <c r="A53" s="288"/>
      <c r="B53" s="299"/>
      <c r="C53" s="288"/>
      <c r="D53" s="288"/>
      <c r="E53" s="288"/>
      <c r="F53" s="288"/>
      <c r="G53" s="288"/>
      <c r="H53" s="288"/>
    </row>
    <row r="54" spans="1:8" ht="20" customHeight="1">
      <c r="A54" s="288"/>
      <c r="B54" s="300"/>
      <c r="C54" s="288"/>
      <c r="D54" s="288"/>
      <c r="E54" s="288"/>
      <c r="F54" s="288"/>
      <c r="G54" s="288"/>
      <c r="H54" s="288"/>
    </row>
    <row r="55" spans="1:8" ht="20" customHeight="1"/>
    <row r="56" spans="1:8" ht="20" customHeight="1"/>
    <row r="57" spans="1:8" ht="20" customHeight="1"/>
    <row r="58" spans="1:8" ht="20" customHeight="1"/>
    <row r="59" spans="1:8" ht="20" customHeight="1"/>
    <row r="60" spans="1:8" ht="20" customHeight="1"/>
    <row r="61" spans="1:8" ht="20" customHeight="1"/>
    <row r="62" spans="1:8" ht="20" customHeight="1"/>
    <row r="63" spans="1:8" ht="20" customHeight="1"/>
    <row r="64" spans="1:8"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s="290" customFormat="1" ht="20" customHeight="1"/>
    <row r="82" s="290" customFormat="1" ht="20" customHeight="1"/>
    <row r="83" s="290" customFormat="1" ht="20" customHeight="1"/>
    <row r="84" s="290" customFormat="1" ht="20" customHeight="1"/>
    <row r="85" s="290" customFormat="1" ht="20" customHeight="1"/>
    <row r="86" s="290" customFormat="1" ht="20" customHeight="1"/>
    <row r="87" s="290" customFormat="1" ht="20" customHeight="1"/>
  </sheetData>
  <sheetProtection formatCells="0" formatColumns="0" formatRows="0" selectLockedCells="1" sort="0" autoFilter="0" pivotTables="0"/>
  <mergeCells count="11">
    <mergeCell ref="B18:C20"/>
    <mergeCell ref="B11:C11"/>
    <mergeCell ref="B12:C14"/>
    <mergeCell ref="B15:C17"/>
    <mergeCell ref="B39:C41"/>
    <mergeCell ref="B21:C23"/>
    <mergeCell ref="B24:C26"/>
    <mergeCell ref="B27:C29"/>
    <mergeCell ref="B30:C32"/>
    <mergeCell ref="B33:C35"/>
    <mergeCell ref="B36:C38"/>
  </mergeCells>
  <conditionalFormatting sqref="B10:G10">
    <cfRule type="expression" dxfId="514" priority="1">
      <formula>B$10=""</formula>
    </cfRule>
  </conditionalFormatting>
  <conditionalFormatting sqref="B12:R14">
    <cfRule type="expression" dxfId="513" priority="4">
      <formula>$B$12=""</formula>
    </cfRule>
  </conditionalFormatting>
  <conditionalFormatting sqref="B15:R17">
    <cfRule type="expression" dxfId="512" priority="5">
      <formula>$B$15=""</formula>
    </cfRule>
  </conditionalFormatting>
  <conditionalFormatting sqref="B18:R20">
    <cfRule type="expression" dxfId="511" priority="6">
      <formula>$B$18=""</formula>
    </cfRule>
  </conditionalFormatting>
  <conditionalFormatting sqref="B21:R23">
    <cfRule type="expression" dxfId="510" priority="7">
      <formula>$B$21=""</formula>
    </cfRule>
  </conditionalFormatting>
  <conditionalFormatting sqref="B24:R26">
    <cfRule type="expression" dxfId="509" priority="8">
      <formula>$B$24=""</formula>
    </cfRule>
  </conditionalFormatting>
  <conditionalFormatting sqref="B27:R29">
    <cfRule type="expression" dxfId="508" priority="9">
      <formula>$B$27=""</formula>
    </cfRule>
  </conditionalFormatting>
  <conditionalFormatting sqref="B30:R32">
    <cfRule type="expression" dxfId="507" priority="10">
      <formula>$B$30=""</formula>
    </cfRule>
  </conditionalFormatting>
  <conditionalFormatting sqref="B33:R35">
    <cfRule type="expression" dxfId="506" priority="11">
      <formula>$B$33=""</formula>
    </cfRule>
  </conditionalFormatting>
  <conditionalFormatting sqref="B36:R38">
    <cfRule type="expression" dxfId="505" priority="12">
      <formula>$B$36=""</formula>
    </cfRule>
  </conditionalFormatting>
  <conditionalFormatting sqref="B39:R41">
    <cfRule type="expression" dxfId="504" priority="13">
      <formula>$B$39=""</formula>
    </cfRule>
  </conditionalFormatting>
  <conditionalFormatting sqref="E14:R14">
    <cfRule type="expression" dxfId="493" priority="153">
      <formula>AND(E14&lt;$T$8,$T12="↑")</formula>
    </cfRule>
    <cfRule type="expression" dxfId="492" priority="150">
      <formula>AND(E14&lt;=$T$8,$T12="↓")</formula>
    </cfRule>
    <cfRule type="expression" dxfId="491" priority="152">
      <formula>AND(E14&gt;=$T$8,$T12="↑")</formula>
    </cfRule>
    <cfRule type="expression" dxfId="490" priority="151">
      <formula>AND(E14&gt;$T$8,$T12="↓")</formula>
    </cfRule>
  </conditionalFormatting>
  <conditionalFormatting sqref="E17:R17">
    <cfRule type="expression" dxfId="479" priority="149">
      <formula>AND(E17&lt;$T$8,$T15="↑")</formula>
    </cfRule>
    <cfRule type="expression" dxfId="478" priority="148">
      <formula>AND(E17&gt;=$T$8,$T15="↑")</formula>
    </cfRule>
    <cfRule type="expression" dxfId="477" priority="147">
      <formula>AND(E17&gt;$T$8,$T15="↓")</formula>
    </cfRule>
    <cfRule type="expression" dxfId="476" priority="146">
      <formula>AND(E17&lt;=$T$8,$T15="↓")</formula>
    </cfRule>
  </conditionalFormatting>
  <conditionalFormatting sqref="E20:R20">
    <cfRule type="expression" dxfId="465" priority="143">
      <formula>AND(E20&gt;$T$8,$T18="↓")</formula>
    </cfRule>
    <cfRule type="expression" dxfId="464" priority="142">
      <formula>AND(E20&lt;=$T$8,$T18="↓")</formula>
    </cfRule>
    <cfRule type="expression" dxfId="463" priority="145">
      <formula>AND(E20&lt;$T$8,$T18="↑")</formula>
    </cfRule>
    <cfRule type="expression" dxfId="462" priority="144">
      <formula>AND(E20&gt;=$T$8,$T18="↑")</formula>
    </cfRule>
  </conditionalFormatting>
  <conditionalFormatting sqref="E23:R23">
    <cfRule type="expression" dxfId="451" priority="140">
      <formula>AND(E23&gt;=$T$8,$T21="↑")</formula>
    </cfRule>
    <cfRule type="expression" dxfId="450" priority="141">
      <formula>AND(E23&lt;$T$8,$T21="↑")</formula>
    </cfRule>
    <cfRule type="expression" dxfId="449" priority="139">
      <formula>AND(E23&gt;$T$8,$T21="↓")</formula>
    </cfRule>
    <cfRule type="expression" dxfId="448" priority="138">
      <formula>AND(E23&lt;=$T$8,$T21="↓")</formula>
    </cfRule>
  </conditionalFormatting>
  <conditionalFormatting sqref="E26:R26">
    <cfRule type="expression" dxfId="437" priority="135">
      <formula>AND(E26&gt;$T$8,$T24="↓")</formula>
    </cfRule>
    <cfRule type="expression" dxfId="436" priority="134">
      <formula>AND(E26&lt;=$T$8,$T24="↓")</formula>
    </cfRule>
    <cfRule type="expression" dxfId="435" priority="137">
      <formula>AND(E26&lt;$T$8,$T24="↑")</formula>
    </cfRule>
    <cfRule type="expression" dxfId="434" priority="136">
      <formula>AND(E26&gt;=$T$8,$T24="↑")</formula>
    </cfRule>
  </conditionalFormatting>
  <conditionalFormatting sqref="E29:R29">
    <cfRule type="expression" dxfId="423" priority="132">
      <formula>AND(E29&gt;=$T$8,$T27="↑")</formula>
    </cfRule>
    <cfRule type="expression" dxfId="422" priority="130">
      <formula>AND(E29&lt;=$T$8,$T27="↓")</formula>
    </cfRule>
    <cfRule type="expression" dxfId="421" priority="133">
      <formula>AND(E29&lt;$T$8,$T27="↑")</formula>
    </cfRule>
    <cfRule type="expression" dxfId="420" priority="131">
      <formula>AND(E29&gt;$T$8,$T27="↓")</formula>
    </cfRule>
  </conditionalFormatting>
  <conditionalFormatting sqref="E32:R32">
    <cfRule type="expression" dxfId="409" priority="126">
      <formula>AND(E32&lt;=$T$8,$T30="↓")</formula>
    </cfRule>
    <cfRule type="expression" dxfId="408" priority="129">
      <formula>AND(E32&lt;$T$8,$T30="↑")</formula>
    </cfRule>
    <cfRule type="expression" dxfId="407" priority="128">
      <formula>AND(E32&gt;=$T$8,$T30="↑")</formula>
    </cfRule>
    <cfRule type="expression" dxfId="406" priority="127">
      <formula>AND(E32&gt;$T$8,$T30="↓")</formula>
    </cfRule>
  </conditionalFormatting>
  <conditionalFormatting sqref="E35:R35">
    <cfRule type="expression" dxfId="395" priority="122">
      <formula>AND(E35&lt;=$T$8,$T33="↓")</formula>
    </cfRule>
    <cfRule type="expression" dxfId="394" priority="123">
      <formula>AND(E35&gt;$T$8,$T33="↓")</formula>
    </cfRule>
    <cfRule type="expression" dxfId="393" priority="124">
      <formula>AND(E35&gt;=$T$8,$T33="↑")</formula>
    </cfRule>
    <cfRule type="expression" dxfId="392" priority="125">
      <formula>AND(E35&lt;$T$8,$T33="↑")</formula>
    </cfRule>
  </conditionalFormatting>
  <conditionalFormatting sqref="E38:R38">
    <cfRule type="expression" dxfId="381" priority="121">
      <formula>AND(E38&lt;$T$8,$T36="↑")</formula>
    </cfRule>
    <cfRule type="expression" dxfId="380" priority="120">
      <formula>AND(E38&gt;=$T$8,$T36="↑")</formula>
    </cfRule>
    <cfRule type="expression" dxfId="379" priority="119">
      <formula>AND(E38&gt;$T$8,$T36="↓")</formula>
    </cfRule>
    <cfRule type="expression" dxfId="378" priority="118">
      <formula>AND(E38&lt;=$T$8,$T36="↓")</formula>
    </cfRule>
  </conditionalFormatting>
  <conditionalFormatting sqref="E41:R41">
    <cfRule type="expression" dxfId="367" priority="114">
      <formula>AND(E41&lt;=$T$8,$T39="↓")</formula>
    </cfRule>
    <cfRule type="expression" dxfId="366" priority="115">
      <formula>AND(E41&gt;$T$8,$T39="↓")</formula>
    </cfRule>
    <cfRule type="expression" dxfId="365" priority="116">
      <formula>AND(E41&gt;=$T$8,$T39="↑")</formula>
    </cfRule>
    <cfRule type="expression" dxfId="364" priority="117">
      <formula>AND(E41&lt;$T$8,$T39="↑")</formula>
    </cfRule>
  </conditionalFormatting>
  <hyperlinks>
    <hyperlink ref="B10" location="'KPI1'!A1" display="'KPI1'!A1" xr:uid="{160FDB20-56D2-4A59-80D9-D334FD50D7F6}"/>
    <hyperlink ref="C10" location="'KPI2'!A1" display="'KPI2'!A1" xr:uid="{EF889543-EFC5-4377-A997-01431BBA07FE}"/>
    <hyperlink ref="D10" location="'KPI3'!A1" display="'KPI3'!A1" xr:uid="{7BC30A3F-FC7F-41EC-8A6D-C42795217363}"/>
    <hyperlink ref="E10" location="'KPI4'!A1" display="'KPI4'!A1" xr:uid="{5B7E13A0-6931-4BD3-9FA2-415259707DF0}"/>
    <hyperlink ref="F10" location="'KPI5'!A1" display="'KPI5'!A1" xr:uid="{6B51E7B3-1D58-4BCE-AFBD-82A7A84EFAD9}"/>
    <hyperlink ref="G10" location="'KPI6'!A1" display="'KPI6'!A1" xr:uid="{F3852E3A-0C0F-4CD8-A6C3-30EB9A434222}"/>
  </hyperlinks>
  <pageMargins left="0.25" right="0.25" top="0.75" bottom="0.75" header="0.3" footer="0.3"/>
  <pageSetup scale="4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13" id="{FEB4D992-9FBD-4121-86E0-D22F6C924395}">
            <xm:f>'O5'!$F$12=Data!$H$2</xm:f>
            <x14:dxf>
              <numFmt numFmtId="13" formatCode="0%"/>
            </x14:dxf>
          </x14:cfRule>
          <x14:cfRule type="expression" priority="112" id="{A2D08564-AB1F-4DCE-8763-077252989707}">
            <xm:f>'O5'!$F$12=Data!$H$3</xm:f>
            <x14:dxf>
              <numFmt numFmtId="165" formatCode="0.0%"/>
            </x14:dxf>
          </x14:cfRule>
          <x14:cfRule type="expression" priority="111" id="{5645D4D7-C79E-4715-BC0B-EE33D2DB9E44}">
            <xm:f>'O5'!$F$12=Data!$H$4</xm:f>
            <x14:dxf>
              <numFmt numFmtId="3" formatCode="#,##0"/>
            </x14:dxf>
          </x14:cfRule>
          <x14:cfRule type="expression" priority="110" id="{98064879-5088-4B2F-963A-F31810388645}">
            <xm:f>'O5'!$F$12=Data!$H$5</xm:f>
            <x14:dxf>
              <numFmt numFmtId="173" formatCode="0.0"/>
            </x14:dxf>
          </x14:cfRule>
          <x14:cfRule type="expression" priority="109" id="{7D45F565-6016-49AB-98D0-6DB980C4AA16}">
            <xm:f>'O5'!$F$12=Data!$H$6</xm:f>
            <x14:dxf>
              <numFmt numFmtId="169" formatCode="#,##0\ &quot;$&quot;"/>
            </x14:dxf>
          </x14:cfRule>
          <x14:cfRule type="expression" priority="108" id="{FC74DC49-93AD-46EF-AC6C-A56CA5CD2E67}">
            <xm:f>'O5'!$F$12=Data!$H$7</xm:f>
            <x14:dxf>
              <numFmt numFmtId="168" formatCode="[$$-409]#,##0"/>
            </x14:dxf>
          </x14:cfRule>
          <x14:cfRule type="expression" priority="107" id="{638DF385-649C-4E6D-96A9-8EF68A1B04DD}">
            <xm:f>'O5'!$F$12=Data!$H$8</xm:f>
            <x14:dxf>
              <numFmt numFmtId="167" formatCode="#,##0\ [$€-1]"/>
            </x14:dxf>
          </x14:cfRule>
          <x14:cfRule type="expression" priority="106" id="{122B680D-0465-412B-9470-4EC3A16CEE56}">
            <xm:f>'O5'!$F$12=Data!$H$9</xm:f>
            <x14:dxf>
              <numFmt numFmtId="172" formatCode="[$£-809]#,##0"/>
            </x14:dxf>
          </x14:cfRule>
          <x14:cfRule type="expression" priority="105" id="{FCDA9600-CCA0-4EF9-817C-B21CE6FBDAC4}">
            <xm:f>'O5'!$F$12=Data!$H$10</xm:f>
            <x14:dxf>
              <numFmt numFmtId="166" formatCode="[$R$-416]\ #,##0"/>
            </x14:dxf>
          </x14:cfRule>
          <x14:cfRule type="expression" priority="104" id="{9AFF5557-5D6E-4729-AAFB-51C1F1AF266D}">
            <xm:f>'O5'!$F$12=Data!$H$11</xm:f>
            <x14:dxf>
              <numFmt numFmtId="171" formatCode="[$-F400]h:mm:ss\ AM/PM"/>
            </x14:dxf>
          </x14:cfRule>
          <xm:sqref>E12:R13</xm:sqref>
        </x14:conditionalFormatting>
        <x14:conditionalFormatting xmlns:xm="http://schemas.microsoft.com/office/excel/2006/main">
          <x14:cfRule type="expression" priority="100" id="{C868E409-84EB-48EA-A883-7F06B91E5801}">
            <xm:f>'O5'!$F$13=Data!$H$5</xm:f>
            <x14:dxf>
              <numFmt numFmtId="173" formatCode="0.0"/>
            </x14:dxf>
          </x14:cfRule>
          <x14:cfRule type="expression" priority="103" id="{5F62E009-B53C-4A1F-A562-733CF5DC24BF}">
            <xm:f>'O5'!$F$13=Data!$H$2</xm:f>
            <x14:dxf>
              <numFmt numFmtId="13" formatCode="0%"/>
            </x14:dxf>
          </x14:cfRule>
          <x14:cfRule type="expression" priority="102" id="{226BB797-E111-4FEF-92E5-3CA3843D0816}">
            <xm:f>'O5'!$F$13=Data!$H$3</xm:f>
            <x14:dxf>
              <numFmt numFmtId="165" formatCode="0.0%"/>
            </x14:dxf>
          </x14:cfRule>
          <x14:cfRule type="expression" priority="101" id="{233CF065-C588-4F67-AE5D-34EB44C41899}">
            <xm:f>'O5'!$F$13=Data!$H$4</xm:f>
            <x14:dxf>
              <numFmt numFmtId="3" formatCode="#,##0"/>
            </x14:dxf>
          </x14:cfRule>
          <x14:cfRule type="expression" priority="99" id="{E7A8A86B-2184-449B-95C3-35E7273B7F18}">
            <xm:f>'O5'!$F$13=Data!$H$6</xm:f>
            <x14:dxf>
              <numFmt numFmtId="169" formatCode="#,##0\ &quot;$&quot;"/>
            </x14:dxf>
          </x14:cfRule>
          <x14:cfRule type="expression" priority="98" id="{C325537A-A9A6-420D-B457-2DED22BDBE99}">
            <xm:f>'O5'!$F$13=Data!$H$7</xm:f>
            <x14:dxf>
              <numFmt numFmtId="168" formatCode="[$$-409]#,##0"/>
            </x14:dxf>
          </x14:cfRule>
          <x14:cfRule type="expression" priority="97" id="{CAD273F1-7800-4753-90A1-C7D4C63B0A12}">
            <xm:f>'O5'!$F$13=Data!$H$8</xm:f>
            <x14:dxf>
              <numFmt numFmtId="167" formatCode="#,##0\ [$€-1]"/>
            </x14:dxf>
          </x14:cfRule>
          <x14:cfRule type="expression" priority="96" id="{553A8DE8-3CE3-4C59-9EA9-3B9B04E62429}">
            <xm:f>'O5'!$F$13=Data!$H$9</xm:f>
            <x14:dxf>
              <numFmt numFmtId="172" formatCode="[$£-809]#,##0"/>
            </x14:dxf>
          </x14:cfRule>
          <x14:cfRule type="expression" priority="94" id="{FFF6D9A1-405F-436E-88B3-9E9942B7157B}">
            <xm:f>'O5'!$F$13=Data!$H$11</xm:f>
            <x14:dxf>
              <numFmt numFmtId="171" formatCode="[$-F400]h:mm:ss\ AM/PM"/>
            </x14:dxf>
          </x14:cfRule>
          <x14:cfRule type="expression" priority="95" id="{1EA35DD6-8E97-45D8-AFCF-6DD85E32852B}">
            <xm:f>'O5'!$F$13=Data!$H$10</xm:f>
            <x14:dxf>
              <numFmt numFmtId="166" formatCode="[$R$-416]\ #,##0"/>
            </x14:dxf>
          </x14:cfRule>
          <xm:sqref>E15:R16</xm:sqref>
        </x14:conditionalFormatting>
        <x14:conditionalFormatting xmlns:xm="http://schemas.microsoft.com/office/excel/2006/main">
          <x14:cfRule type="expression" priority="90" id="{7D4BE211-9FEA-4F42-AA00-FD16A1DD8C52}">
            <xm:f>'O5'!$F$14=Data!$H$5</xm:f>
            <x14:dxf>
              <numFmt numFmtId="173" formatCode="0.0"/>
            </x14:dxf>
          </x14:cfRule>
          <x14:cfRule type="expression" priority="88" id="{F2B2C0FC-F758-4D49-9899-02055D61E61F}">
            <xm:f>'O5'!$F$14=Data!$H$7</xm:f>
            <x14:dxf>
              <numFmt numFmtId="168" formatCode="[$$-409]#,##0"/>
            </x14:dxf>
          </x14:cfRule>
          <x14:cfRule type="expression" priority="93" id="{81794908-1E51-4F67-8714-8129923DE050}">
            <xm:f>'O5'!$F$14=Data!$H$2</xm:f>
            <x14:dxf>
              <numFmt numFmtId="13" formatCode="0%"/>
            </x14:dxf>
          </x14:cfRule>
          <x14:cfRule type="expression" priority="92" id="{CDD70F7E-DBB7-4EC2-A000-5B3E87BC4F4C}">
            <xm:f>'O5'!$F$14=Data!$H$3</xm:f>
            <x14:dxf>
              <numFmt numFmtId="165" formatCode="0.0%"/>
            </x14:dxf>
          </x14:cfRule>
          <x14:cfRule type="expression" priority="91" id="{ED32480A-2934-4D3D-9C86-A75A23338625}">
            <xm:f>'O5'!$F$14=Data!$H$4</xm:f>
            <x14:dxf>
              <numFmt numFmtId="3" formatCode="#,##0"/>
            </x14:dxf>
          </x14:cfRule>
          <x14:cfRule type="expression" priority="89" id="{0D5E8858-5C52-4B10-85EE-0B958EF0032A}">
            <xm:f>'O5'!$F$14=Data!$H$6</xm:f>
            <x14:dxf>
              <numFmt numFmtId="169" formatCode="#,##0\ &quot;$&quot;"/>
            </x14:dxf>
          </x14:cfRule>
          <x14:cfRule type="expression" priority="87" id="{169AC3C8-B657-4C11-A5DC-20C9E437860F}">
            <xm:f>'O5'!$F$14=Data!$H$8</xm:f>
            <x14:dxf>
              <numFmt numFmtId="167" formatCode="#,##0\ [$€-1]"/>
            </x14:dxf>
          </x14:cfRule>
          <x14:cfRule type="expression" priority="86" id="{7B8F39E0-FE9F-439A-8ADA-487D8E24CBC5}">
            <xm:f>'O5'!$F$14=Data!$H$9</xm:f>
            <x14:dxf>
              <numFmt numFmtId="172" formatCode="[$£-809]#,##0"/>
            </x14:dxf>
          </x14:cfRule>
          <x14:cfRule type="expression" priority="85" id="{A8BBEBF8-A7F4-4D30-94FE-4A28459E0161}">
            <xm:f>'O5'!$F$14=Data!$H$10</xm:f>
            <x14:dxf>
              <numFmt numFmtId="166" formatCode="[$R$-416]\ #,##0"/>
            </x14:dxf>
          </x14:cfRule>
          <x14:cfRule type="expression" priority="84" id="{CF457125-2708-4206-919B-F43533CE7588}">
            <xm:f>'O5'!$F$14=Data!$H$11</xm:f>
            <x14:dxf>
              <numFmt numFmtId="171" formatCode="[$-F400]h:mm:ss\ AM/PM"/>
            </x14:dxf>
          </x14:cfRule>
          <xm:sqref>E18:R19</xm:sqref>
        </x14:conditionalFormatting>
        <x14:conditionalFormatting xmlns:xm="http://schemas.microsoft.com/office/excel/2006/main">
          <x14:cfRule type="expression" priority="78" id="{0675865E-CB6A-4305-AC61-1792D34F639C}">
            <xm:f>'O5'!$F$15=Data!$H$7</xm:f>
            <x14:dxf>
              <numFmt numFmtId="168" formatCode="[$$-409]#,##0"/>
            </x14:dxf>
          </x14:cfRule>
          <x14:cfRule type="expression" priority="74" id="{A20533C1-3361-43ED-8B02-1103476E8AA1}">
            <xm:f>'O5'!$F$15=Data!$H$11</xm:f>
            <x14:dxf>
              <numFmt numFmtId="171" formatCode="[$-F400]h:mm:ss\ AM/PM"/>
            </x14:dxf>
          </x14:cfRule>
          <x14:cfRule type="expression" priority="79" id="{4D5ED9B2-DEF4-42D9-8811-CAB730992F73}">
            <xm:f>'O5'!$F$15=Data!$H$6</xm:f>
            <x14:dxf>
              <numFmt numFmtId="169" formatCode="#,##0\ &quot;$&quot;"/>
            </x14:dxf>
          </x14:cfRule>
          <x14:cfRule type="expression" priority="77" id="{C64C74B0-B993-4FDA-AA48-C01F4FB8F67C}">
            <xm:f>'O5'!$F$15=Data!$H$8</xm:f>
            <x14:dxf>
              <numFmt numFmtId="167" formatCode="#,##0\ [$€-1]"/>
            </x14:dxf>
          </x14:cfRule>
          <x14:cfRule type="expression" priority="83" id="{3FB18562-69F1-4A1E-B4D1-6A22A6ADDA0B}">
            <xm:f>'O5'!$F$15=Data!$H$2</xm:f>
            <x14:dxf>
              <numFmt numFmtId="13" formatCode="0%"/>
            </x14:dxf>
          </x14:cfRule>
          <x14:cfRule type="expression" priority="82" id="{A8E0A9A2-F741-42EE-B6E3-422E2B889B9A}">
            <xm:f>'O5'!$F$15=Data!$H$3</xm:f>
            <x14:dxf>
              <numFmt numFmtId="165" formatCode="0.0%"/>
            </x14:dxf>
          </x14:cfRule>
          <x14:cfRule type="expression" priority="81" id="{435C5481-28A0-49BF-B0FD-44C1BBB614DB}">
            <xm:f>'O5'!$F$15=Data!$H$4</xm:f>
            <x14:dxf>
              <numFmt numFmtId="3" formatCode="#,##0"/>
            </x14:dxf>
          </x14:cfRule>
          <x14:cfRule type="expression" priority="80" id="{41E8BF3F-70BA-4CDA-AEF1-AFD73309613C}">
            <xm:f>'O5'!$F$15=Data!$H$5</xm:f>
            <x14:dxf>
              <numFmt numFmtId="173" formatCode="0.0"/>
            </x14:dxf>
          </x14:cfRule>
          <x14:cfRule type="expression" priority="76" id="{560DD10B-FAB9-4CAE-BD30-3DA6171A8843}">
            <xm:f>'O5'!$F$15=Data!$H$9</xm:f>
            <x14:dxf>
              <numFmt numFmtId="172" formatCode="[$£-809]#,##0"/>
            </x14:dxf>
          </x14:cfRule>
          <x14:cfRule type="expression" priority="75" id="{C74DFD07-21DE-41AB-9196-763D9F9AD65E}">
            <xm:f>'O5'!$F$15=Data!$H$10</xm:f>
            <x14:dxf>
              <numFmt numFmtId="166" formatCode="[$R$-416]\ #,##0"/>
            </x14:dxf>
          </x14:cfRule>
          <xm:sqref>E21:R22</xm:sqref>
        </x14:conditionalFormatting>
        <x14:conditionalFormatting xmlns:xm="http://schemas.microsoft.com/office/excel/2006/main">
          <x14:cfRule type="expression" priority="67" id="{26738808-1D3F-48D4-A6FC-AE08E470840C}">
            <xm:f>'O5'!$F$16=Data!$H$8</xm:f>
            <x14:dxf>
              <numFmt numFmtId="167" formatCode="#,##0\ [$€-1]"/>
            </x14:dxf>
          </x14:cfRule>
          <x14:cfRule type="expression" priority="72" id="{CD5E8287-0777-437E-96A9-3A9F4E79F29C}">
            <xm:f>'O5'!$F$16=Data!$H$3</xm:f>
            <x14:dxf>
              <numFmt numFmtId="165" formatCode="0.0%"/>
            </x14:dxf>
          </x14:cfRule>
          <x14:cfRule type="expression" priority="73" id="{9E9577A8-E016-4B52-AC39-89D556C5B917}">
            <xm:f>'O5'!$F$16=Data!$H$2</xm:f>
            <x14:dxf>
              <numFmt numFmtId="13" formatCode="0%"/>
            </x14:dxf>
          </x14:cfRule>
          <x14:cfRule type="expression" priority="66" id="{71477A25-B1E6-4D3C-B5BE-6B20D43CBAC0}">
            <xm:f>'O5'!$F$16=Data!$H$9</xm:f>
            <x14:dxf>
              <numFmt numFmtId="172" formatCode="[$£-809]#,##0"/>
            </x14:dxf>
          </x14:cfRule>
          <x14:cfRule type="expression" priority="65" id="{E7D92950-C250-4560-850F-A5B60A068F75}">
            <xm:f>'O5'!$F$16=Data!$H$10</xm:f>
            <x14:dxf>
              <numFmt numFmtId="166" formatCode="[$R$-416]\ #,##0"/>
            </x14:dxf>
          </x14:cfRule>
          <x14:cfRule type="expression" priority="64" id="{03949DBB-D672-45C7-8508-AD4A6D034B03}">
            <xm:f>'O5'!$F$16=Data!$H$11</xm:f>
            <x14:dxf>
              <numFmt numFmtId="171" formatCode="[$-F400]h:mm:ss\ AM/PM"/>
            </x14:dxf>
          </x14:cfRule>
          <x14:cfRule type="expression" priority="68" id="{84A8876B-853A-43B4-A712-FA325D3044C2}">
            <xm:f>'O5'!$F$16=Data!$H$7</xm:f>
            <x14:dxf>
              <numFmt numFmtId="168" formatCode="[$$-409]#,##0"/>
            </x14:dxf>
          </x14:cfRule>
          <x14:cfRule type="expression" priority="70" id="{D77E5CFB-C97D-4ADD-B220-712D0227D855}">
            <xm:f>'O5'!$F$16=Data!$H$5</xm:f>
            <x14:dxf>
              <numFmt numFmtId="173" formatCode="0.0"/>
            </x14:dxf>
          </x14:cfRule>
          <x14:cfRule type="expression" priority="71" id="{FE748EEF-67E4-4599-99E7-FC2BC87F07AB}">
            <xm:f>'O5'!$F$16=Data!$H$4</xm:f>
            <x14:dxf>
              <numFmt numFmtId="3" formatCode="#,##0"/>
            </x14:dxf>
          </x14:cfRule>
          <x14:cfRule type="expression" priority="69" id="{3B8419FD-5C43-4EB2-B2A4-07D054B67B8F}">
            <xm:f>'O5'!$F$16=Data!$H$6</xm:f>
            <x14:dxf>
              <numFmt numFmtId="169" formatCode="#,##0\ &quot;$&quot;"/>
            </x14:dxf>
          </x14:cfRule>
          <xm:sqref>E24:R25</xm:sqref>
        </x14:conditionalFormatting>
        <x14:conditionalFormatting xmlns:xm="http://schemas.microsoft.com/office/excel/2006/main">
          <x14:cfRule type="expression" priority="56" id="{EB11CB8B-C137-42A4-9E0C-22D0397A153A}">
            <xm:f>'O5'!$F$17=Data!$H$9</xm:f>
            <x14:dxf>
              <numFmt numFmtId="172" formatCode="[$£-809]#,##0"/>
            </x14:dxf>
          </x14:cfRule>
          <x14:cfRule type="expression" priority="55" id="{B51C8E9A-EAFC-4332-859A-0DC0E16492A7}">
            <xm:f>'O5'!$F$17=Data!$H$10</xm:f>
            <x14:dxf>
              <numFmt numFmtId="166" formatCode="[$R$-416]\ #,##0"/>
            </x14:dxf>
          </x14:cfRule>
          <x14:cfRule type="expression" priority="63" id="{BBB326E6-DBF3-4A59-88A2-62B2D77ACE42}">
            <xm:f>'O5'!$F$17=Data!$H$2</xm:f>
            <x14:dxf>
              <numFmt numFmtId="13" formatCode="0%"/>
            </x14:dxf>
          </x14:cfRule>
          <x14:cfRule type="expression" priority="62" id="{6558CEB7-8859-4D23-B9D6-259BCA1268CD}">
            <xm:f>'O5'!$F$17=Data!$H$3</xm:f>
            <x14:dxf>
              <numFmt numFmtId="165" formatCode="0.0%"/>
            </x14:dxf>
          </x14:cfRule>
          <x14:cfRule type="expression" priority="61" id="{4F25FA5D-6E2D-45AD-93F6-DF0FFBFC91E0}">
            <xm:f>'O5'!$F$17=Data!$H$4</xm:f>
            <x14:dxf>
              <numFmt numFmtId="3" formatCode="#,##0"/>
            </x14:dxf>
          </x14:cfRule>
          <x14:cfRule type="expression" priority="60" id="{3F2FB803-5124-4E89-98FC-623F198B3687}">
            <xm:f>'O5'!$F$17=Data!$H$5</xm:f>
            <x14:dxf>
              <numFmt numFmtId="173" formatCode="0.0"/>
            </x14:dxf>
          </x14:cfRule>
          <x14:cfRule type="expression" priority="54" id="{99353039-34BD-4879-BE24-FF48FA3844FB}">
            <xm:f>'O5'!$F$17=Data!$H$11</xm:f>
            <x14:dxf>
              <numFmt numFmtId="171" formatCode="[$-F400]h:mm:ss\ AM/PM"/>
            </x14:dxf>
          </x14:cfRule>
          <x14:cfRule type="expression" priority="57" id="{1C736ABA-6B20-4F3C-A2FD-91102E0B0F42}">
            <xm:f>'O5'!$F$17=Data!$H$8</xm:f>
            <x14:dxf>
              <numFmt numFmtId="167" formatCode="#,##0\ [$€-1]"/>
            </x14:dxf>
          </x14:cfRule>
          <x14:cfRule type="expression" priority="59" id="{BF8F9D45-5168-4E96-B0EA-D622CF9C0032}">
            <xm:f>'O5'!$F$17=Data!$H$6</xm:f>
            <x14:dxf>
              <numFmt numFmtId="169" formatCode="#,##0\ &quot;$&quot;"/>
            </x14:dxf>
          </x14:cfRule>
          <x14:cfRule type="expression" priority="58" id="{D1EB536A-29F4-44DC-8472-5DF53C0D0AD0}">
            <xm:f>'O5'!$F$17=Data!$H$7</xm:f>
            <x14:dxf>
              <numFmt numFmtId="168" formatCode="[$$-409]#,##0"/>
            </x14:dxf>
          </x14:cfRule>
          <xm:sqref>E27:R28</xm:sqref>
        </x14:conditionalFormatting>
        <x14:conditionalFormatting xmlns:xm="http://schemas.microsoft.com/office/excel/2006/main">
          <x14:cfRule type="expression" priority="50" id="{6B7B01F3-6255-4A8B-BC60-11E369D315AF}">
            <xm:f>'O5'!$F$18=Data!$H$5</xm:f>
            <x14:dxf>
              <numFmt numFmtId="173" formatCode="0.0"/>
            </x14:dxf>
          </x14:cfRule>
          <x14:cfRule type="expression" priority="44" id="{E0E7C017-4652-4A43-8F59-5B29CA33A138}">
            <xm:f>'O5'!$F$18=Data!$H$11</xm:f>
            <x14:dxf>
              <numFmt numFmtId="171" formatCode="[$-F400]h:mm:ss\ AM/PM"/>
            </x14:dxf>
          </x14:cfRule>
          <x14:cfRule type="expression" priority="45" id="{ED2A0096-1914-46BB-9441-519D9FBFCD0E}">
            <xm:f>'O5'!$F$18=Data!$H$10</xm:f>
            <x14:dxf>
              <numFmt numFmtId="166" formatCode="[$R$-416]\ #,##0"/>
            </x14:dxf>
          </x14:cfRule>
          <x14:cfRule type="expression" priority="46" id="{C9DC168E-358A-483A-92E5-7A01D1152A8A}">
            <xm:f>'O5'!$F$18=Data!$H$9</xm:f>
            <x14:dxf>
              <numFmt numFmtId="172" formatCode="[$£-809]#,##0"/>
            </x14:dxf>
          </x14:cfRule>
          <x14:cfRule type="expression" priority="47" id="{C826D18F-ED29-4EE6-BB3C-71E9C4A3427D}">
            <xm:f>'O5'!$F$18=Data!$H$8</xm:f>
            <x14:dxf>
              <numFmt numFmtId="167" formatCode="#,##0\ [$€-1]"/>
            </x14:dxf>
          </x14:cfRule>
          <x14:cfRule type="expression" priority="48" id="{8016192E-21CA-431D-B34A-626DBBFC50EA}">
            <xm:f>'O5'!$F$18=Data!$H$7</xm:f>
            <x14:dxf>
              <numFmt numFmtId="168" formatCode="[$$-409]#,##0"/>
            </x14:dxf>
          </x14:cfRule>
          <x14:cfRule type="expression" priority="49" id="{4E42B8F4-AF33-492A-A275-A0D90CDA543E}">
            <xm:f>'O5'!$F$18=Data!$H$6</xm:f>
            <x14:dxf>
              <numFmt numFmtId="169" formatCode="#,##0\ &quot;$&quot;"/>
            </x14:dxf>
          </x14:cfRule>
          <x14:cfRule type="expression" priority="52" id="{D6560305-5557-42F9-8DD7-07A4051B9B82}">
            <xm:f>'O5'!$F$18=Data!$H$3</xm:f>
            <x14:dxf>
              <numFmt numFmtId="165" formatCode="0.0%"/>
            </x14:dxf>
          </x14:cfRule>
          <x14:cfRule type="expression" priority="53" id="{EC8BA1D9-6B23-4B95-AC98-ED3BA4D50842}">
            <xm:f>'O5'!$F$18=Data!$H$2</xm:f>
            <x14:dxf>
              <numFmt numFmtId="13" formatCode="0%"/>
            </x14:dxf>
          </x14:cfRule>
          <x14:cfRule type="expression" priority="51" id="{4BA13C42-EFF2-41D4-9D24-31E2A374FA84}">
            <xm:f>'O5'!$F$18=Data!$H$4</xm:f>
            <x14:dxf>
              <numFmt numFmtId="3" formatCode="#,##0"/>
            </x14:dxf>
          </x14:cfRule>
          <xm:sqref>E30:R31</xm:sqref>
        </x14:conditionalFormatting>
        <x14:conditionalFormatting xmlns:xm="http://schemas.microsoft.com/office/excel/2006/main">
          <x14:cfRule type="expression" priority="36" id="{89E119FE-6DC8-4DFE-A512-4610482CF01F}">
            <xm:f>'O5'!$F$19=Data!$H$9</xm:f>
            <x14:dxf>
              <numFmt numFmtId="172" formatCode="[$£-809]#,##0"/>
            </x14:dxf>
          </x14:cfRule>
          <x14:cfRule type="expression" priority="35" id="{31BB5ABB-4B8E-48A0-81E4-5117D75EDB8A}">
            <xm:f>'O5'!$F$19=Data!$H$10</xm:f>
            <x14:dxf>
              <numFmt numFmtId="166" formatCode="[$R$-416]\ #,##0"/>
            </x14:dxf>
          </x14:cfRule>
          <x14:cfRule type="expression" priority="37" id="{F21D6FEC-0868-486D-8578-CFE405F3BFDD}">
            <xm:f>'O5'!$F$19=Data!$H$8</xm:f>
            <x14:dxf>
              <numFmt numFmtId="167" formatCode="#,##0\ [$€-1]"/>
            </x14:dxf>
          </x14:cfRule>
          <x14:cfRule type="expression" priority="38" id="{3959072C-F1D0-46A9-9A19-90E3211E9C41}">
            <xm:f>'O5'!$F$19=Data!$H$7</xm:f>
            <x14:dxf>
              <numFmt numFmtId="168" formatCode="[$$-409]#,##0"/>
            </x14:dxf>
          </x14:cfRule>
          <x14:cfRule type="expression" priority="39" id="{A911D6A7-6D6B-4B38-9631-6CF07B9BD87E}">
            <xm:f>'O5'!$F$19=Data!$H$6</xm:f>
            <x14:dxf>
              <numFmt numFmtId="169" formatCode="#,##0\ &quot;$&quot;"/>
            </x14:dxf>
          </x14:cfRule>
          <x14:cfRule type="expression" priority="40" id="{8C51C0DA-FC45-44AA-B6EB-2DBD891490E7}">
            <xm:f>'O5'!$F$19=Data!$H$5</xm:f>
            <x14:dxf>
              <numFmt numFmtId="173" formatCode="0.0"/>
            </x14:dxf>
          </x14:cfRule>
          <x14:cfRule type="expression" priority="41" id="{4D8E88BF-0F8C-4ABF-A4D4-2CE66AEEEE12}">
            <xm:f>'O5'!$F$19=Data!$H$4</xm:f>
            <x14:dxf>
              <numFmt numFmtId="3" formatCode="#,##0"/>
            </x14:dxf>
          </x14:cfRule>
          <x14:cfRule type="expression" priority="42" id="{42AFD9FC-1456-4A93-A13A-6A3BC0412A19}">
            <xm:f>'O5'!$F$19=Data!$H$3</xm:f>
            <x14:dxf>
              <numFmt numFmtId="165" formatCode="0.0%"/>
            </x14:dxf>
          </x14:cfRule>
          <x14:cfRule type="expression" priority="43" id="{F1CB2392-8379-4C3E-ACBD-0E9343B921E3}">
            <xm:f>'O5'!$F$19=Data!$H$2</xm:f>
            <x14:dxf>
              <numFmt numFmtId="13" formatCode="0%"/>
            </x14:dxf>
          </x14:cfRule>
          <x14:cfRule type="expression" priority="34" id="{BB4017B9-AE4D-4E85-B349-D0461104E00C}">
            <xm:f>'O5'!$F$19=Data!$H$11</xm:f>
            <x14:dxf>
              <numFmt numFmtId="171" formatCode="[$-F400]h:mm:ss\ AM/PM"/>
            </x14:dxf>
          </x14:cfRule>
          <xm:sqref>E33:R34</xm:sqref>
        </x14:conditionalFormatting>
        <x14:conditionalFormatting xmlns:xm="http://schemas.microsoft.com/office/excel/2006/main">
          <x14:cfRule type="expression" priority="25" id="{5C445C7D-77D7-4A99-B122-5C2A97E4DA17}">
            <xm:f>'O5'!$F$20=Data!$H$10</xm:f>
            <x14:dxf>
              <numFmt numFmtId="166" formatCode="[$R$-416]\ #,##0"/>
            </x14:dxf>
          </x14:cfRule>
          <x14:cfRule type="expression" priority="26" id="{E713D283-2577-4236-A207-E48E6D2640FA}">
            <xm:f>'O5'!$F$20=Data!$H$9</xm:f>
            <x14:dxf>
              <numFmt numFmtId="172" formatCode="[$£-809]#,##0"/>
            </x14:dxf>
          </x14:cfRule>
          <x14:cfRule type="expression" priority="27" id="{796E0249-826C-4519-AD53-9178456171D3}">
            <xm:f>'O5'!$F$20=Data!$H$8</xm:f>
            <x14:dxf>
              <numFmt numFmtId="167" formatCode="#,##0\ [$€-1]"/>
            </x14:dxf>
          </x14:cfRule>
          <x14:cfRule type="expression" priority="28" id="{7B0AD7CA-08B0-43F3-88D5-927AB7D93547}">
            <xm:f>'O5'!$F$20=Data!$H$7</xm:f>
            <x14:dxf>
              <numFmt numFmtId="168" formatCode="[$$-409]#,##0"/>
            </x14:dxf>
          </x14:cfRule>
          <x14:cfRule type="expression" priority="29" id="{DE5285D3-EF83-426A-9B24-98EA4C1C5B34}">
            <xm:f>'O5'!$F$20=Data!$H$6</xm:f>
            <x14:dxf>
              <numFmt numFmtId="169" formatCode="#,##0\ &quot;$&quot;"/>
            </x14:dxf>
          </x14:cfRule>
          <x14:cfRule type="expression" priority="30" id="{89880B1B-AC0E-40C8-ACE9-7486827EC816}">
            <xm:f>'O5'!$F$20=Data!$H$5</xm:f>
            <x14:dxf>
              <numFmt numFmtId="173" formatCode="0.0"/>
            </x14:dxf>
          </x14:cfRule>
          <x14:cfRule type="expression" priority="31" id="{AAA57526-F6A1-4862-8C62-287065E3E98F}">
            <xm:f>'O5'!$F$20=Data!$H$4</xm:f>
            <x14:dxf>
              <numFmt numFmtId="3" formatCode="#,##0"/>
            </x14:dxf>
          </x14:cfRule>
          <x14:cfRule type="expression" priority="32" id="{EACCC044-3E19-4982-B964-239B1DDB6987}">
            <xm:f>'O5'!$F$20=Data!$H$3</xm:f>
            <x14:dxf>
              <numFmt numFmtId="165" formatCode="0.0%"/>
            </x14:dxf>
          </x14:cfRule>
          <x14:cfRule type="expression" priority="33" id="{422E4FCF-560B-4ABE-B50C-FBE6A711351A}">
            <xm:f>'O5'!$F$20=Data!$H$2</xm:f>
            <x14:dxf>
              <numFmt numFmtId="13" formatCode="0%"/>
            </x14:dxf>
          </x14:cfRule>
          <x14:cfRule type="expression" priority="24" id="{07C606C1-6329-4FEC-97AB-4799BCE6509A}">
            <xm:f>'O5'!$F$20=Data!$H$11</xm:f>
            <x14:dxf>
              <numFmt numFmtId="171" formatCode="[$-F400]h:mm:ss\ AM/PM"/>
            </x14:dxf>
          </x14:cfRule>
          <xm:sqref>E36:R37</xm:sqref>
        </x14:conditionalFormatting>
        <x14:conditionalFormatting xmlns:xm="http://schemas.microsoft.com/office/excel/2006/main">
          <x14:cfRule type="expression" priority="19" id="{307E5DD5-C2AD-4A19-880F-BE3BF8ABEFDA}">
            <xm:f>'O5'!$F$21=Data!$H$6</xm:f>
            <x14:dxf>
              <numFmt numFmtId="169" formatCode="#,##0\ &quot;$&quot;"/>
            </x14:dxf>
          </x14:cfRule>
          <x14:cfRule type="expression" priority="20" id="{08595551-B999-4D0E-B82F-B4DEFF2C140B}">
            <xm:f>'O5'!$F$21=Data!$H$5</xm:f>
            <x14:dxf>
              <numFmt numFmtId="173" formatCode="0.0"/>
            </x14:dxf>
          </x14:cfRule>
          <x14:cfRule type="expression" priority="21" id="{3550A084-01E7-424E-A9B0-BAAB9FF2B39C}">
            <xm:f>'O5'!$F$21=Data!$H$4</xm:f>
            <x14:dxf>
              <numFmt numFmtId="3" formatCode="#,##0"/>
            </x14:dxf>
          </x14:cfRule>
          <x14:cfRule type="expression" priority="23" id="{2056E46C-6130-43EC-8946-049BC81EE856}">
            <xm:f>'O5'!$F$21=Data!$H$2</xm:f>
            <x14:dxf>
              <numFmt numFmtId="13" formatCode="0%"/>
            </x14:dxf>
          </x14:cfRule>
          <x14:cfRule type="expression" priority="18" id="{988A9A74-B9B8-4AEC-935F-63160E2D6736}">
            <xm:f>'O5'!$F$21=Data!$H$7</xm:f>
            <x14:dxf>
              <numFmt numFmtId="168" formatCode="[$$-409]#,##0"/>
            </x14:dxf>
          </x14:cfRule>
          <x14:cfRule type="expression" priority="17" id="{26F12A7C-06F0-46E1-A21F-097888E0A382}">
            <xm:f>'O5'!$F$21=Data!$H$8</xm:f>
            <x14:dxf>
              <numFmt numFmtId="167" formatCode="#,##0\ [$€-1]"/>
            </x14:dxf>
          </x14:cfRule>
          <x14:cfRule type="expression" priority="16" id="{7F0070D6-2AFB-4AA9-B6E2-4077CB3F23DA}">
            <xm:f>'O5'!$F$21=Data!$H$9</xm:f>
            <x14:dxf>
              <numFmt numFmtId="172" formatCode="[$£-809]#,##0"/>
            </x14:dxf>
          </x14:cfRule>
          <x14:cfRule type="expression" priority="15" id="{3A7A12C3-491C-42CA-86CB-670AC14F41DD}">
            <xm:f>'O5'!$F$21=Data!$H$10</xm:f>
            <x14:dxf>
              <numFmt numFmtId="166" formatCode="[$R$-416]\ #,##0"/>
            </x14:dxf>
          </x14:cfRule>
          <x14:cfRule type="expression" priority="14" id="{BB3C1FF0-DEAC-4F29-B193-9CAE755207C5}">
            <xm:f>'O5'!$F$21=Data!$H$11</xm:f>
            <x14:dxf>
              <numFmt numFmtId="171" formatCode="[$-F400]h:mm:ss\ AM/PM"/>
            </x14:dxf>
          </x14:cfRule>
          <x14:cfRule type="expression" priority="22" id="{296CC528-AFE2-4338-A543-6555E6519839}">
            <xm:f>'O5'!$F$21=Data!$H$3</xm:f>
            <x14:dxf>
              <numFmt numFmtId="165" formatCode="0.0%"/>
            </x14:dxf>
          </x14:cfRule>
          <xm:sqref>E39:R40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DB656-BD3F-4122-9769-7160F545DFCE}">
  <dimension ref="A1:U87"/>
  <sheetViews>
    <sheetView showGridLines="0" showRowColHeaders="0" zoomScaleNormal="100" workbookViewId="0">
      <selection activeCell="B10" sqref="B10"/>
    </sheetView>
  </sheetViews>
  <sheetFormatPr baseColWidth="10" defaultColWidth="11.5" defaultRowHeight="15"/>
  <cols>
    <col min="1" max="1" width="2.6640625" style="290" customWidth="1"/>
    <col min="2" max="18" width="16.6640625" style="290" customWidth="1"/>
    <col min="19" max="19" width="1.5" style="290" customWidth="1"/>
    <col min="20" max="21" width="11.5" style="290" hidden="1" customWidth="1"/>
    <col min="22" max="16384" width="11.5" style="290"/>
  </cols>
  <sheetData>
    <row r="1" spans="1:21" s="249" customFormat="1" ht="39" customHeight="1">
      <c r="A1" s="248"/>
      <c r="B1" s="248"/>
      <c r="C1" s="248"/>
      <c r="D1" s="248"/>
      <c r="E1" s="248"/>
      <c r="F1" s="248"/>
      <c r="G1" s="248"/>
      <c r="H1" s="248"/>
      <c r="I1" s="248"/>
      <c r="J1" s="248"/>
      <c r="K1" s="248"/>
      <c r="L1" s="248"/>
      <c r="M1" s="248"/>
      <c r="N1" s="248"/>
      <c r="O1" s="248"/>
      <c r="P1" s="248"/>
      <c r="Q1" s="248"/>
      <c r="R1" s="248"/>
      <c r="S1" s="248"/>
    </row>
    <row r="2" spans="1:21" s="308" customFormat="1" ht="25" customHeight="1"/>
    <row r="3" spans="1:21" s="287" customFormat="1" ht="18" customHeight="1"/>
    <row r="4" spans="1:21" s="287" customFormat="1" ht="18" customHeight="1"/>
    <row r="5" spans="1:21" s="287" customFormat="1" ht="20" customHeight="1"/>
    <row r="6" spans="1:21" ht="20" customHeight="1">
      <c r="A6" s="288"/>
      <c r="B6" s="288"/>
      <c r="C6" s="288"/>
      <c r="D6" s="288"/>
      <c r="E6" s="288"/>
      <c r="F6" s="288"/>
      <c r="G6" s="288"/>
      <c r="H6" s="288"/>
    </row>
    <row r="7" spans="1:21" ht="20" customHeight="1">
      <c r="A7" s="288"/>
      <c r="B7" s="303" t="str">
        <f>Lan!F43&amp;" - "&amp;Goals!C17</f>
        <v>2.3. Objetivos - Desarrollar y fidelizar al talento humano de la empresa.</v>
      </c>
      <c r="C7" s="346"/>
      <c r="D7" s="346"/>
      <c r="E7" s="346"/>
      <c r="F7" s="346"/>
      <c r="G7" s="346"/>
      <c r="H7" s="360"/>
      <c r="I7" s="93"/>
      <c r="J7" s="93"/>
      <c r="K7" s="93"/>
      <c r="L7" s="93"/>
      <c r="M7" s="93"/>
      <c r="N7" s="93"/>
      <c r="O7" s="93"/>
      <c r="P7" s="93"/>
      <c r="Q7" s="93"/>
      <c r="R7" s="93"/>
    </row>
    <row r="8" spans="1:21" ht="20" customHeight="1">
      <c r="A8" s="288"/>
      <c r="B8" s="334" t="str">
        <f>Lan!F44</f>
        <v>Los objetivos proporcionan hitos específicos con un cronograma específico para lograr una meta.</v>
      </c>
      <c r="C8" s="92"/>
      <c r="D8" s="92"/>
      <c r="E8" s="92"/>
      <c r="F8" s="92"/>
      <c r="G8" s="92"/>
      <c r="H8" s="92"/>
      <c r="I8" s="93"/>
      <c r="J8" s="93"/>
      <c r="K8" s="93"/>
      <c r="L8" s="93"/>
      <c r="M8" s="93"/>
      <c r="N8" s="93"/>
      <c r="O8" s="93"/>
      <c r="P8" s="93"/>
      <c r="Q8" s="93"/>
      <c r="R8" s="93"/>
      <c r="T8" s="415">
        <f>Settings!E22</f>
        <v>0.9</v>
      </c>
      <c r="U8" s="93"/>
    </row>
    <row r="9" spans="1:21" ht="20" customHeight="1" thickBot="1">
      <c r="A9" s="288"/>
      <c r="B9" s="92"/>
      <c r="C9" s="92"/>
      <c r="D9" s="92"/>
      <c r="E9" s="92"/>
      <c r="F9" s="92"/>
      <c r="G9" s="92"/>
      <c r="H9" s="92"/>
      <c r="I9" s="93"/>
      <c r="J9" s="93"/>
      <c r="K9" s="93"/>
      <c r="L9" s="93"/>
      <c r="M9" s="93"/>
      <c r="N9" s="93"/>
      <c r="O9" s="93"/>
      <c r="P9" s="93"/>
      <c r="Q9" s="93"/>
      <c r="R9" s="93"/>
      <c r="T9" s="415"/>
      <c r="U9" s="93"/>
    </row>
    <row r="10" spans="1:21" ht="20" customHeight="1" thickTop="1" thickBot="1">
      <c r="A10" s="288"/>
      <c r="B10" s="419" t="str">
        <f>IF(Goals!$C$12="","",Goals!$B$12)</f>
        <v>Meta 1</v>
      </c>
      <c r="C10" s="419" t="str">
        <f>IF(Goals!$C$13="","",Goals!$B$13)</f>
        <v>Meta 2</v>
      </c>
      <c r="D10" s="419" t="str">
        <f>IF(Goals!$C$14="","",Goals!$B$14)</f>
        <v>Meta 3</v>
      </c>
      <c r="E10" s="419" t="str">
        <f>IF(Goals!$C$15="","",Goals!$B$15)</f>
        <v>Meta 4</v>
      </c>
      <c r="F10" s="419" t="str">
        <f>IF(Goals!$C$16="","",Goals!$B$16)</f>
        <v>Meta 5</v>
      </c>
      <c r="G10" s="420" t="str">
        <f>IF(Goals!$C$17="","",Goals!$B$17)</f>
        <v>Meta 6</v>
      </c>
      <c r="H10" s="409"/>
      <c r="I10" s="410"/>
      <c r="J10" s="410"/>
      <c r="K10" s="410"/>
      <c r="L10" s="410"/>
      <c r="M10" s="410"/>
      <c r="N10" s="410"/>
      <c r="O10" s="410"/>
      <c r="P10" s="410"/>
      <c r="Q10" s="410"/>
      <c r="R10" s="411"/>
      <c r="T10" s="415"/>
      <c r="U10" s="93"/>
    </row>
    <row r="11" spans="1:21" ht="30" customHeight="1" thickTop="1" thickBot="1">
      <c r="A11" s="288"/>
      <c r="B11" s="503" t="str">
        <f>Lan!$F$45</f>
        <v>Objetivos</v>
      </c>
      <c r="C11" s="504"/>
      <c r="D11" s="365" t="str">
        <f>Lan!$F$57&amp;" / "&amp;Lan!$F$58</f>
        <v>Actual / Meta</v>
      </c>
      <c r="E11" s="365" t="str">
        <f>Data!$A$2</f>
        <v>ENE</v>
      </c>
      <c r="F11" s="365" t="str">
        <f>Data!$A$3</f>
        <v>FEB</v>
      </c>
      <c r="G11" s="365" t="str">
        <f>Data!$A$4</f>
        <v>MAR</v>
      </c>
      <c r="H11" s="365" t="str">
        <f>Data!$A$5</f>
        <v>ABR</v>
      </c>
      <c r="I11" s="365" t="str">
        <f>Data!$A$6</f>
        <v>MAY</v>
      </c>
      <c r="J11" s="365" t="str">
        <f>Data!$A$7</f>
        <v>JUN</v>
      </c>
      <c r="K11" s="365" t="str">
        <f>Data!$A$8</f>
        <v>JUL</v>
      </c>
      <c r="L11" s="365" t="str">
        <f>Data!$A$9</f>
        <v>AGO</v>
      </c>
      <c r="M11" s="365" t="str">
        <f>Data!$A$10</f>
        <v>SEP</v>
      </c>
      <c r="N11" s="365" t="str">
        <f>Data!$A$11</f>
        <v>OCT</v>
      </c>
      <c r="O11" s="365" t="str">
        <f>Data!$A$12</f>
        <v>NOV</v>
      </c>
      <c r="P11" s="365" t="str">
        <f>Data!$A$13</f>
        <v>DIC</v>
      </c>
      <c r="Q11" s="365" t="str">
        <f>Lan!F60</f>
        <v>Acumulado</v>
      </c>
      <c r="R11" s="365" t="str">
        <f>Data!$A$15</f>
        <v>TOTAL</v>
      </c>
      <c r="T11" s="93"/>
      <c r="U11" s="93"/>
    </row>
    <row r="12" spans="1:21" ht="22" customHeight="1">
      <c r="A12" s="288"/>
      <c r="B12" s="497" t="str">
        <f>IF('O6'!B12="","",'O6'!B12)</f>
        <v>Implementar un plan anual de capacitación para todos los colaboradores antes de enero de 2026.</v>
      </c>
      <c r="C12" s="498"/>
      <c r="D12" s="400" t="str">
        <f>IF(B12="","",Lan!$F$57)</f>
        <v>Actual</v>
      </c>
      <c r="E12" s="94">
        <v>150</v>
      </c>
      <c r="F12" s="94">
        <v>67</v>
      </c>
      <c r="G12" s="94">
        <v>99</v>
      </c>
      <c r="H12" s="94">
        <v>57</v>
      </c>
      <c r="I12" s="94">
        <v>87</v>
      </c>
      <c r="J12" s="94">
        <v>97</v>
      </c>
      <c r="K12" s="94">
        <v>57</v>
      </c>
      <c r="L12" s="94">
        <v>87</v>
      </c>
      <c r="M12" s="94">
        <v>97</v>
      </c>
      <c r="N12" s="94">
        <v>57</v>
      </c>
      <c r="O12" s="94">
        <v>87</v>
      </c>
      <c r="P12" s="94">
        <v>97</v>
      </c>
      <c r="Q12" s="402">
        <f t="array" ref="Q12">IF(B12="","",IFERROR(IF('O6'!$H$12=Data!$J$4,INDEX('KPI6'!E12:P12,COUNT(E12:P12)),IF('O6'!$H$12=Data!$J$2,SUM('KPI6'!E12:P12),IF('O6'!$H$12=Data!$J$3,AVERAGEIF(E12:P12,"&lt;&gt;",E12:P12)))),0))</f>
        <v>1039</v>
      </c>
      <c r="R12" s="402">
        <f t="array" ref="R12">IF(B12="","",IFERROR(IF('O6'!$H$12=Data!$J$4,INDEX('KPI6'!E12:P12,COUNT(E12:P12)),IF('O6'!$H$12=Data!$J$2,SUM('KPI6'!E12:P12),IF('O6'!$H$12=Data!$J$3,AVERAGEIF(E12:P12,"&lt;&gt;",E12:P12)))),0))</f>
        <v>1039</v>
      </c>
      <c r="T12" s="93" t="str">
        <f>'O6'!G12</f>
        <v>↑</v>
      </c>
      <c r="U12" s="93"/>
    </row>
    <row r="13" spans="1:21" ht="22" customHeight="1">
      <c r="A13" s="288"/>
      <c r="B13" s="499"/>
      <c r="C13" s="500"/>
      <c r="D13" s="401" t="str">
        <f>IF(B12="","",Lan!$F$58)</f>
        <v>Meta</v>
      </c>
      <c r="E13" s="95">
        <v>90</v>
      </c>
      <c r="F13" s="95">
        <v>90</v>
      </c>
      <c r="G13" s="95">
        <v>90</v>
      </c>
      <c r="H13" s="95">
        <v>90</v>
      </c>
      <c r="I13" s="95">
        <v>90</v>
      </c>
      <c r="J13" s="95">
        <v>90</v>
      </c>
      <c r="K13" s="95">
        <v>90</v>
      </c>
      <c r="L13" s="95">
        <v>90</v>
      </c>
      <c r="M13" s="95">
        <v>90</v>
      </c>
      <c r="N13" s="95">
        <v>90</v>
      </c>
      <c r="O13" s="95">
        <v>90</v>
      </c>
      <c r="P13" s="95">
        <v>90</v>
      </c>
      <c r="Q13" s="401">
        <f>IF(B12="","",IFERROR(IF('O6'!$H$12=Data!$J$4,T13,IF('O6'!$H$12=Data!$J$2,SUMIF('KPI6'!E12:P12,"&lt;&gt;",E13:P13),IF('O6'!$H$12=Data!$J$3,AVERAGEIF(E13:P13,"&lt;&gt;",E13:P13)))),0))</f>
        <v>1080</v>
      </c>
      <c r="R13" s="403">
        <f t="array" ref="R13">IF(B12="","",IFERROR(IF('O6'!$H$12=Data!$J$4,INDEX('KPI6'!E13:P13,COUNT(E13:P13)),IF('O6'!$H$12=Data!$J$2,SUM('KPI6'!E13:P13),IF('O6'!$H$12=Data!$J$3,AVERAGE(E13:P13)))),0))</f>
        <v>1080</v>
      </c>
      <c r="T13" s="93">
        <f>IF(P12&lt;&gt;"",P13,IF(O12&lt;&gt;"",O13,IF(N12&lt;&gt;"",N13,IF(M12&lt;&gt;"",M13,IF(L12&lt;&gt;"",L13,IF(K12&lt;&gt;"",K13,IF(J12&lt;&gt;"",J13,IF(I12&lt;&gt;"",I13,IF(H12&lt;&gt;"",H13,IF(G12&lt;&gt;"",G13,IF(F12&lt;&gt;"",F13,IF(E12&lt;&gt;"",E13,0))))))))))))</f>
        <v>90</v>
      </c>
      <c r="U13" s="93"/>
    </row>
    <row r="14" spans="1:21" ht="22" customHeight="1" thickBot="1">
      <c r="A14" s="288"/>
      <c r="B14" s="505"/>
      <c r="C14" s="506"/>
      <c r="D14" s="424" t="str">
        <f>IF(B12="","","%")</f>
        <v>%</v>
      </c>
      <c r="E14" s="421">
        <f t="shared" ref="E14:R14" si="0">IFERROR(IF($B12="","",E12/E13),"")</f>
        <v>1.6666666666666667</v>
      </c>
      <c r="F14" s="421">
        <f t="shared" si="0"/>
        <v>0.74444444444444446</v>
      </c>
      <c r="G14" s="421">
        <f t="shared" si="0"/>
        <v>1.1000000000000001</v>
      </c>
      <c r="H14" s="421">
        <f t="shared" si="0"/>
        <v>0.6333333333333333</v>
      </c>
      <c r="I14" s="421">
        <f t="shared" si="0"/>
        <v>0.96666666666666667</v>
      </c>
      <c r="J14" s="421">
        <f t="shared" si="0"/>
        <v>1.0777777777777777</v>
      </c>
      <c r="K14" s="421">
        <f t="shared" si="0"/>
        <v>0.6333333333333333</v>
      </c>
      <c r="L14" s="421">
        <f t="shared" si="0"/>
        <v>0.96666666666666667</v>
      </c>
      <c r="M14" s="421">
        <f t="shared" si="0"/>
        <v>1.0777777777777777</v>
      </c>
      <c r="N14" s="421">
        <f t="shared" si="0"/>
        <v>0.6333333333333333</v>
      </c>
      <c r="O14" s="421">
        <f t="shared" si="0"/>
        <v>0.96666666666666667</v>
      </c>
      <c r="P14" s="421">
        <f t="shared" si="0"/>
        <v>1.0777777777777777</v>
      </c>
      <c r="Q14" s="421">
        <f t="shared" si="0"/>
        <v>0.96203703703703702</v>
      </c>
      <c r="R14" s="421">
        <f t="shared" si="0"/>
        <v>0.96203703703703702</v>
      </c>
      <c r="T14" s="93"/>
      <c r="U14" s="93"/>
    </row>
    <row r="15" spans="1:21" ht="22" customHeight="1">
      <c r="A15" s="288"/>
      <c r="B15" s="497" t="str">
        <f>IF('O6'!B13="","",'O6'!B13)</f>
        <v>Lograr que el 80% del personal operativo participe en al menos una capacitación al año.</v>
      </c>
      <c r="C15" s="498"/>
      <c r="D15" s="400" t="str">
        <f>IF(B15="","",Lan!$F$57)</f>
        <v>Actual</v>
      </c>
      <c r="E15" s="94">
        <v>0.9</v>
      </c>
      <c r="F15" s="94">
        <v>0.9</v>
      </c>
      <c r="G15" s="94">
        <v>0.9</v>
      </c>
      <c r="H15" s="94">
        <v>0.9</v>
      </c>
      <c r="I15" s="94">
        <v>0.9</v>
      </c>
      <c r="J15" s="94">
        <v>0.9</v>
      </c>
      <c r="K15" s="94">
        <v>0.78</v>
      </c>
      <c r="L15" s="94">
        <v>0.78</v>
      </c>
      <c r="M15" s="94">
        <v>0.78</v>
      </c>
      <c r="N15" s="94">
        <v>0.93</v>
      </c>
      <c r="O15" s="94">
        <v>0.93</v>
      </c>
      <c r="P15" s="94">
        <v>0.93</v>
      </c>
      <c r="Q15" s="402">
        <f t="array" ref="Q15">IF(B15="","",IFERROR(IF('O6'!$H$13=Data!$J$4,INDEX('KPI6'!E15:P15,COUNT(E15:P15)),IF('O6'!$H$13=Data!$J$2,SUM('KPI6'!E15:P15),IF('O6'!$H$13=Data!$J$3,AVERAGEIF(E15:P15,"&lt;&gt;",E15:P15)))),0))</f>
        <v>0.87750000000000006</v>
      </c>
      <c r="R15" s="402">
        <f t="array" ref="R15">IF(B15="","",IFERROR(IF('O6'!$H$13=Data!$J$4,INDEX('KPI6'!E15:P15,COUNT(E15:P15)),IF('O6'!$H$13=Data!$J$2,SUM('KPI6'!E15:P15),IF('O6'!$H$13=Data!$J$3,AVERAGEIF(E15:P15,"&lt;&gt;",E15:P15)))),0))</f>
        <v>0.87750000000000006</v>
      </c>
      <c r="T15" s="93" t="str">
        <f>'O6'!G13</f>
        <v>↑</v>
      </c>
      <c r="U15" s="93"/>
    </row>
    <row r="16" spans="1:21" ht="22" customHeight="1">
      <c r="A16" s="288"/>
      <c r="B16" s="499"/>
      <c r="C16" s="500"/>
      <c r="D16" s="401" t="str">
        <f>IF(B15="","",Lan!$F$58)</f>
        <v>Meta</v>
      </c>
      <c r="E16" s="95">
        <v>0.9</v>
      </c>
      <c r="F16" s="95">
        <v>0.9</v>
      </c>
      <c r="G16" s="95">
        <v>0.9</v>
      </c>
      <c r="H16" s="95">
        <v>0.9</v>
      </c>
      <c r="I16" s="95">
        <v>0.9</v>
      </c>
      <c r="J16" s="95">
        <v>0.9</v>
      </c>
      <c r="K16" s="95">
        <v>0.9</v>
      </c>
      <c r="L16" s="95">
        <v>0.9</v>
      </c>
      <c r="M16" s="95">
        <v>0.9</v>
      </c>
      <c r="N16" s="95">
        <v>0.9</v>
      </c>
      <c r="O16" s="95">
        <v>0.9</v>
      </c>
      <c r="P16" s="95">
        <v>0.9</v>
      </c>
      <c r="Q16" s="401">
        <f>IF(B15="","",IFERROR(IF('O6'!$H$13=Data!$J$4,T16,IF('O6'!$H$13=Data!$J$2,SUMIF('KPI6'!E15:P15,"&lt;&gt;",E16:P16),IF('O6'!$H$13=Data!$J$3,AVERAGEIF(E16:P16,"&lt;&gt;",E16:P16)))),0))</f>
        <v>0.90000000000000024</v>
      </c>
      <c r="R16" s="403">
        <f t="array" ref="R16">IF(B15="","",IFERROR(IF('O6'!$H$13=Data!$J$4,INDEX('KPI6'!E16:P16,COUNT(E16:P16)),IF('O6'!$H$13=Data!$J$2,SUM('KPI6'!E16:P16),IF('O6'!$H$13=Data!$J$3,AVERAGE(E16:P16)))),0))</f>
        <v>0.90000000000000024</v>
      </c>
      <c r="T16" s="93">
        <f>IF(P15&lt;&gt;"",P16,IF(O15&lt;&gt;"",O16,IF(N15&lt;&gt;"",N16,IF(M15&lt;&gt;"",M16,IF(L15&lt;&gt;"",L16,IF(K15&lt;&gt;"",K16,IF(J15&lt;&gt;"",J16,IF(I15&lt;&gt;"",I16,IF(H15&lt;&gt;"",H16,IF(G15&lt;&gt;"",G16,IF(F15&lt;&gt;"",F16,IF(E15&lt;&gt;"",E16,0))))))))))))</f>
        <v>0.9</v>
      </c>
      <c r="U16" s="93"/>
    </row>
    <row r="17" spans="1:21" ht="22" customHeight="1" thickBot="1">
      <c r="A17" s="288"/>
      <c r="B17" s="505"/>
      <c r="C17" s="506"/>
      <c r="D17" s="424" t="str">
        <f>IF(B15="","","%")</f>
        <v>%</v>
      </c>
      <c r="E17" s="421">
        <f t="shared" ref="E17:R17" si="1">IFERROR(IF($B15="","",E15/E16),"")</f>
        <v>1</v>
      </c>
      <c r="F17" s="421">
        <f t="shared" si="1"/>
        <v>1</v>
      </c>
      <c r="G17" s="421">
        <f t="shared" si="1"/>
        <v>1</v>
      </c>
      <c r="H17" s="421">
        <f t="shared" si="1"/>
        <v>1</v>
      </c>
      <c r="I17" s="421">
        <f t="shared" si="1"/>
        <v>1</v>
      </c>
      <c r="J17" s="421">
        <f t="shared" si="1"/>
        <v>1</v>
      </c>
      <c r="K17" s="421">
        <f t="shared" si="1"/>
        <v>0.8666666666666667</v>
      </c>
      <c r="L17" s="421">
        <f t="shared" si="1"/>
        <v>0.8666666666666667</v>
      </c>
      <c r="M17" s="421">
        <f t="shared" si="1"/>
        <v>0.8666666666666667</v>
      </c>
      <c r="N17" s="421">
        <f t="shared" si="1"/>
        <v>1.0333333333333334</v>
      </c>
      <c r="O17" s="421">
        <f t="shared" si="1"/>
        <v>1.0333333333333334</v>
      </c>
      <c r="P17" s="421">
        <f t="shared" si="1"/>
        <v>1.0333333333333334</v>
      </c>
      <c r="Q17" s="421">
        <f t="shared" si="1"/>
        <v>0.97499999999999976</v>
      </c>
      <c r="R17" s="421">
        <f t="shared" si="1"/>
        <v>0.97499999999999976</v>
      </c>
      <c r="T17" s="93"/>
      <c r="U17" s="93"/>
    </row>
    <row r="18" spans="1:21" ht="22" customHeight="1">
      <c r="A18" s="288"/>
      <c r="B18" s="497" t="str">
        <f>IF('O6'!B14="","",'O6'!B14)</f>
        <v/>
      </c>
      <c r="C18" s="498"/>
      <c r="D18" s="400" t="str">
        <f>IF(B18="","",Lan!$F$57)</f>
        <v/>
      </c>
      <c r="E18" s="94"/>
      <c r="F18" s="94"/>
      <c r="G18" s="94"/>
      <c r="H18" s="94"/>
      <c r="I18" s="94"/>
      <c r="J18" s="94"/>
      <c r="K18" s="94"/>
      <c r="L18" s="94"/>
      <c r="M18" s="94"/>
      <c r="N18" s="94"/>
      <c r="O18" s="94"/>
      <c r="P18" s="94"/>
      <c r="Q18" s="402" t="str">
        <f t="array" ref="Q18">IF(B18="","",IFERROR(IF('O6'!$H$14=Data!$J$4,INDEX('KPI6'!E18:P18,COUNT(E18:P18)),IF('O6'!$H$14=Data!$J$2,SUM('KPI6'!E18:P18),IF('O6'!$H$14=Data!$J$3,AVERAGEIF(E18:P18,"&lt;&gt;",E18:P18)))),0))</f>
        <v/>
      </c>
      <c r="R18" s="402" t="str">
        <f t="array" ref="R18">IF(B18="","",IFERROR(IF('O6'!$H$14=Data!$J$4,INDEX('KPI6'!E18:P18,COUNT(E18:P18)),IF('O6'!$H$14=Data!$J$2,SUM('KPI6'!E18:P18),IF('O6'!$H$14=Data!$J$3,AVERAGEIF(E18:P18,"&lt;&gt;",E18:P18)))),0))</f>
        <v/>
      </c>
      <c r="T18" s="93">
        <f>'O6'!G14</f>
        <v>0</v>
      </c>
      <c r="U18" s="93"/>
    </row>
    <row r="19" spans="1:21" ht="22" customHeight="1">
      <c r="A19" s="288"/>
      <c r="B19" s="499"/>
      <c r="C19" s="500"/>
      <c r="D19" s="401" t="str">
        <f>IF(B18="","",Lan!$F$58)</f>
        <v/>
      </c>
      <c r="E19" s="95"/>
      <c r="F19" s="95"/>
      <c r="G19" s="95"/>
      <c r="H19" s="95"/>
      <c r="I19" s="95"/>
      <c r="J19" s="95"/>
      <c r="K19" s="95"/>
      <c r="L19" s="95"/>
      <c r="M19" s="95"/>
      <c r="N19" s="95"/>
      <c r="O19" s="95"/>
      <c r="P19" s="95"/>
      <c r="Q19" s="401" t="str">
        <f>IF(B18="","",IFERROR(IF('O6'!$H$14=Data!$J$4,T19,IF('O6'!$H$14=Data!$J$2,SUMIF('KPI6'!E18:P18,"&lt;&gt;",E19:P19),IF('O6'!$H$14=Data!$J$3,AVERAGEIF(E19:P19,"&lt;&gt;",E19:P19)))),0))</f>
        <v/>
      </c>
      <c r="R19" s="403" t="str">
        <f t="array" ref="R19">IF(B18="","",IFERROR(IF('O6'!$H$14=Data!$J$4,INDEX('KPI6'!E19:P19,COUNT(E19:P19)),IF('O6'!$H$14=Data!$J$2,SUM('KPI6'!E19:P19),IF('O6'!$H$14=Data!$J$3,AVERAGE(E19:P19)))),0))</f>
        <v/>
      </c>
      <c r="T19" s="93">
        <f>IF(P18&lt;&gt;"",P19,IF(O18&lt;&gt;"",O19,IF(N18&lt;&gt;"",N19,IF(M18&lt;&gt;"",M19,IF(L18&lt;&gt;"",L19,IF(K18&lt;&gt;"",K19,IF(J18&lt;&gt;"",J19,IF(I18&lt;&gt;"",I19,IF(H18&lt;&gt;"",H19,IF(G18&lt;&gt;"",G19,IF(F18&lt;&gt;"",F19,IF(E18&lt;&gt;"",E19,0))))))))))))</f>
        <v>0</v>
      </c>
      <c r="U19" s="93"/>
    </row>
    <row r="20" spans="1:21" ht="22" customHeight="1" thickBot="1">
      <c r="A20" s="288"/>
      <c r="B20" s="505"/>
      <c r="C20" s="506"/>
      <c r="D20" s="424" t="str">
        <f>IF(B18="","","%")</f>
        <v/>
      </c>
      <c r="E20" s="421" t="str">
        <f t="shared" ref="E20:R20" si="2">IFERROR(IF($B18="","",E18/E19),"")</f>
        <v/>
      </c>
      <c r="F20" s="421" t="str">
        <f t="shared" si="2"/>
        <v/>
      </c>
      <c r="G20" s="421" t="str">
        <f t="shared" si="2"/>
        <v/>
      </c>
      <c r="H20" s="421" t="str">
        <f t="shared" si="2"/>
        <v/>
      </c>
      <c r="I20" s="421" t="str">
        <f t="shared" si="2"/>
        <v/>
      </c>
      <c r="J20" s="421" t="str">
        <f t="shared" si="2"/>
        <v/>
      </c>
      <c r="K20" s="421" t="str">
        <f t="shared" si="2"/>
        <v/>
      </c>
      <c r="L20" s="421" t="str">
        <f t="shared" si="2"/>
        <v/>
      </c>
      <c r="M20" s="421" t="str">
        <f t="shared" si="2"/>
        <v/>
      </c>
      <c r="N20" s="421" t="str">
        <f t="shared" si="2"/>
        <v/>
      </c>
      <c r="O20" s="421" t="str">
        <f t="shared" si="2"/>
        <v/>
      </c>
      <c r="P20" s="421" t="str">
        <f t="shared" si="2"/>
        <v/>
      </c>
      <c r="Q20" s="421" t="str">
        <f t="shared" si="2"/>
        <v/>
      </c>
      <c r="R20" s="421" t="str">
        <f t="shared" si="2"/>
        <v/>
      </c>
      <c r="T20" s="93"/>
      <c r="U20" s="93"/>
    </row>
    <row r="21" spans="1:21" ht="22" customHeight="1">
      <c r="A21" s="288"/>
      <c r="B21" s="497" t="str">
        <f>IF('O6'!B15="","",'O6'!B15)</f>
        <v/>
      </c>
      <c r="C21" s="498"/>
      <c r="D21" s="400" t="str">
        <f>IF(B21="","",Lan!$F$57)</f>
        <v/>
      </c>
      <c r="E21" s="94"/>
      <c r="F21" s="94"/>
      <c r="G21" s="94"/>
      <c r="H21" s="94"/>
      <c r="I21" s="94"/>
      <c r="J21" s="94"/>
      <c r="K21" s="94"/>
      <c r="L21" s="94"/>
      <c r="M21" s="94"/>
      <c r="N21" s="94"/>
      <c r="O21" s="94"/>
      <c r="P21" s="94"/>
      <c r="Q21" s="402" t="str">
        <f t="array" ref="Q21">IF(B21="","",IFERROR(IF('O6'!$H$15=Data!$J$4,INDEX('KPI6'!E21:P21,COUNT(E21:P21)),IF('O6'!$H$15=Data!$J$2,SUM('KPI6'!E21:P21),IF('O6'!$H$15=Data!$J$3,AVERAGEIF(E21:P21,"&lt;&gt;",E21:P21)))),0))</f>
        <v/>
      </c>
      <c r="R21" s="402" t="str">
        <f t="array" ref="R21">IF(B21="","",IFERROR(IF('O6'!$H$15=Data!$J$4,INDEX('KPI6'!E21:P21,COUNT(E21:P21)),IF('O6'!$H$15=Data!$J$2,SUM('KPI6'!E21:P21),IF('O6'!$H$15=Data!$J$3,AVERAGEIF(E21:P21,"&lt;&gt;",E21:P21)))),0))</f>
        <v/>
      </c>
      <c r="T21" s="93">
        <f>'O6'!G15</f>
        <v>0</v>
      </c>
      <c r="U21" s="93"/>
    </row>
    <row r="22" spans="1:21" ht="22" customHeight="1">
      <c r="A22" s="288"/>
      <c r="B22" s="499"/>
      <c r="C22" s="500"/>
      <c r="D22" s="401" t="str">
        <f>IF(B21="","",Lan!$F$58)</f>
        <v/>
      </c>
      <c r="E22" s="95"/>
      <c r="F22" s="95"/>
      <c r="G22" s="95"/>
      <c r="H22" s="95"/>
      <c r="I22" s="95"/>
      <c r="J22" s="95"/>
      <c r="K22" s="95"/>
      <c r="L22" s="95"/>
      <c r="M22" s="95"/>
      <c r="N22" s="95"/>
      <c r="O22" s="95"/>
      <c r="P22" s="95"/>
      <c r="Q22" s="401" t="str">
        <f>IF(B21="","",IFERROR(IF('O6'!$H$15=Data!$J$4,T22,IF('O6'!$H$15=Data!$J$2,SUMIF('KPI6'!E21:P21,"&lt;&gt;",E22:P22),IF('O6'!$H$15=Data!$J$3,AVERAGEIF(E22:P22,"&lt;&gt;",E22:P22)))),0))</f>
        <v/>
      </c>
      <c r="R22" s="403" t="str">
        <f t="array" ref="R22">IF(B21="","",IFERROR(IF('O6'!$H$15=Data!$J$4,INDEX('KPI6'!E22:P22,COUNT(E22:P22)),IF('O6'!$H$15=Data!$J$2,SUM('KPI6'!E22:P22),IF('O6'!$H$15=Data!$J$3,AVERAGE(E22:P22)))),0))</f>
        <v/>
      </c>
      <c r="T22" s="93">
        <f>IF(P21&lt;&gt;"",P22,IF(O21&lt;&gt;"",O22,IF(N21&lt;&gt;"",N22,IF(M21&lt;&gt;"",M22,IF(L21&lt;&gt;"",L22,IF(K21&lt;&gt;"",K22,IF(J21&lt;&gt;"",J22,IF(I21&lt;&gt;"",I22,IF(H21&lt;&gt;"",H22,IF(G21&lt;&gt;"",G22,IF(F21&lt;&gt;"",F22,IF(E21&lt;&gt;"",E22,0))))))))))))</f>
        <v>0</v>
      </c>
      <c r="U22" s="93"/>
    </row>
    <row r="23" spans="1:21" ht="22" customHeight="1" thickBot="1">
      <c r="A23" s="288"/>
      <c r="B23" s="501"/>
      <c r="C23" s="502"/>
      <c r="D23" s="422" t="str">
        <f>IF(B21="","","%")</f>
        <v/>
      </c>
      <c r="E23" s="421" t="str">
        <f t="shared" ref="E23:R23" si="3">IFERROR(IF($B21="","",E21/E22),"")</f>
        <v/>
      </c>
      <c r="F23" s="421" t="str">
        <f t="shared" si="3"/>
        <v/>
      </c>
      <c r="G23" s="421" t="str">
        <f t="shared" si="3"/>
        <v/>
      </c>
      <c r="H23" s="421" t="str">
        <f t="shared" si="3"/>
        <v/>
      </c>
      <c r="I23" s="421" t="str">
        <f t="shared" si="3"/>
        <v/>
      </c>
      <c r="J23" s="421" t="str">
        <f t="shared" si="3"/>
        <v/>
      </c>
      <c r="K23" s="421" t="str">
        <f t="shared" si="3"/>
        <v/>
      </c>
      <c r="L23" s="421" t="str">
        <f t="shared" si="3"/>
        <v/>
      </c>
      <c r="M23" s="421" t="str">
        <f t="shared" si="3"/>
        <v/>
      </c>
      <c r="N23" s="421" t="str">
        <f t="shared" si="3"/>
        <v/>
      </c>
      <c r="O23" s="421" t="str">
        <f t="shared" si="3"/>
        <v/>
      </c>
      <c r="P23" s="421" t="str">
        <f t="shared" si="3"/>
        <v/>
      </c>
      <c r="Q23" s="421" t="str">
        <f t="shared" si="3"/>
        <v/>
      </c>
      <c r="R23" s="421" t="str">
        <f t="shared" si="3"/>
        <v/>
      </c>
      <c r="T23" s="93"/>
      <c r="U23" s="93"/>
    </row>
    <row r="24" spans="1:21" ht="22" customHeight="1">
      <c r="A24" s="288"/>
      <c r="B24" s="497" t="str">
        <f>IF('O6'!B16="","",'O6'!B16)</f>
        <v/>
      </c>
      <c r="C24" s="498"/>
      <c r="D24" s="400" t="str">
        <f>IF(B24="","",Lan!$F$57)</f>
        <v/>
      </c>
      <c r="E24" s="94"/>
      <c r="F24" s="94"/>
      <c r="G24" s="94"/>
      <c r="H24" s="94"/>
      <c r="I24" s="94"/>
      <c r="J24" s="94"/>
      <c r="K24" s="94"/>
      <c r="L24" s="94"/>
      <c r="M24" s="94"/>
      <c r="N24" s="94"/>
      <c r="O24" s="94"/>
      <c r="P24" s="94"/>
      <c r="Q24" s="402" t="str">
        <f t="array" ref="Q24">IF(B24="","",IFERROR(IF('O6'!$H$16=Data!$J$4,INDEX('KPI6'!E24:P24,COUNT(E24:P24)),IF('O6'!$H$16=Data!$J$2,SUM('KPI6'!E24:P24),IF('O6'!$H$16=Data!$J$3,AVERAGEIF(E24:P24,"&lt;&gt;",E24:P24)))),0))</f>
        <v/>
      </c>
      <c r="R24" s="402" t="str">
        <f t="array" ref="R24">IF(B24="","",IFERROR(IF('O6'!$H$16=Data!$J$4,INDEX('KPI6'!E24:P24,COUNT(E24:P24)),IF('O6'!$H$16=Data!$J$2,SUM('KPI6'!E24:P24),IF('O6'!$H$16=Data!$J$3,AVERAGEIF(E24:P24,"&lt;&gt;",E24:P24)))),0))</f>
        <v/>
      </c>
      <c r="T24" s="93">
        <f>'O6'!G16</f>
        <v>0</v>
      </c>
      <c r="U24" s="93"/>
    </row>
    <row r="25" spans="1:21" ht="22" customHeight="1">
      <c r="A25" s="288"/>
      <c r="B25" s="499"/>
      <c r="C25" s="500"/>
      <c r="D25" s="401" t="str">
        <f>IF(B24="","",Lan!$F$58)</f>
        <v/>
      </c>
      <c r="E25" s="95"/>
      <c r="F25" s="95"/>
      <c r="G25" s="95"/>
      <c r="H25" s="95"/>
      <c r="I25" s="95"/>
      <c r="J25" s="95"/>
      <c r="K25" s="95"/>
      <c r="L25" s="95"/>
      <c r="M25" s="95"/>
      <c r="N25" s="95"/>
      <c r="O25" s="95"/>
      <c r="P25" s="95"/>
      <c r="Q25" s="401" t="str">
        <f>IF(B24="","",IFERROR(IF('O6'!$H$16=Data!$J$4,T25,IF('O6'!$H$16=Data!$J$2,SUMIF('KPI6'!E24:P24,"&lt;&gt;",E25:P25),IF('O6'!$H$16=Data!$J$3,AVERAGEIF(E25:P25,"&lt;&gt;",E25:P25)))),0))</f>
        <v/>
      </c>
      <c r="R25" s="403" t="str">
        <f t="array" ref="R25">IF(B24="","",IFERROR(IF('O6'!$H$16=Data!$J$4,INDEX('KPI6'!E25:P25,COUNT(E25:P25)),IF('O6'!$H$16=Data!$J$2,SUM('KPI6'!E25:P25),IF('O6'!$H$16=Data!$J$3,AVERAGE(E25:P25)))),0))</f>
        <v/>
      </c>
      <c r="T25" s="93">
        <f>IF(P24&lt;&gt;"",P25,IF(O24&lt;&gt;"",O25,IF(N24&lt;&gt;"",N25,IF(M24&lt;&gt;"",M25,IF(L24&lt;&gt;"",L25,IF(K24&lt;&gt;"",K25,IF(J24&lt;&gt;"",J25,IF(I24&lt;&gt;"",I25,IF(H24&lt;&gt;"",H25,IF(G24&lt;&gt;"",G25,IF(F24&lt;&gt;"",F25,IF(E24&lt;&gt;"",E25,0))))))))))))</f>
        <v>0</v>
      </c>
      <c r="U25" s="93"/>
    </row>
    <row r="26" spans="1:21" ht="22" customHeight="1" thickBot="1">
      <c r="A26" s="288"/>
      <c r="B26" s="501"/>
      <c r="C26" s="502"/>
      <c r="D26" s="422" t="str">
        <f>IF(B24="","","%")</f>
        <v/>
      </c>
      <c r="E26" s="421" t="str">
        <f t="shared" ref="E26:R26" si="4">IFERROR(IF($B24="","",E24/E25),"")</f>
        <v/>
      </c>
      <c r="F26" s="421" t="str">
        <f t="shared" si="4"/>
        <v/>
      </c>
      <c r="G26" s="421" t="str">
        <f t="shared" si="4"/>
        <v/>
      </c>
      <c r="H26" s="421" t="str">
        <f t="shared" si="4"/>
        <v/>
      </c>
      <c r="I26" s="421" t="str">
        <f t="shared" si="4"/>
        <v/>
      </c>
      <c r="J26" s="421" t="str">
        <f t="shared" si="4"/>
        <v/>
      </c>
      <c r="K26" s="421" t="str">
        <f t="shared" si="4"/>
        <v/>
      </c>
      <c r="L26" s="421" t="str">
        <f t="shared" si="4"/>
        <v/>
      </c>
      <c r="M26" s="421" t="str">
        <f t="shared" si="4"/>
        <v/>
      </c>
      <c r="N26" s="421" t="str">
        <f t="shared" si="4"/>
        <v/>
      </c>
      <c r="O26" s="421" t="str">
        <f t="shared" si="4"/>
        <v/>
      </c>
      <c r="P26" s="421" t="str">
        <f t="shared" si="4"/>
        <v/>
      </c>
      <c r="Q26" s="421" t="str">
        <f t="shared" si="4"/>
        <v/>
      </c>
      <c r="R26" s="421" t="str">
        <f t="shared" si="4"/>
        <v/>
      </c>
      <c r="T26" s="93"/>
      <c r="U26" s="93"/>
    </row>
    <row r="27" spans="1:21" ht="22" customHeight="1">
      <c r="A27" s="288"/>
      <c r="B27" s="497" t="str">
        <f>IF('O6'!B17="","",'O6'!B17)</f>
        <v/>
      </c>
      <c r="C27" s="498"/>
      <c r="D27" s="400" t="str">
        <f>IF(B27="","",Lan!$F$57)</f>
        <v/>
      </c>
      <c r="E27" s="94"/>
      <c r="F27" s="94"/>
      <c r="G27" s="94"/>
      <c r="H27" s="94"/>
      <c r="I27" s="94"/>
      <c r="J27" s="94"/>
      <c r="K27" s="94"/>
      <c r="L27" s="94"/>
      <c r="M27" s="94"/>
      <c r="N27" s="94"/>
      <c r="O27" s="94"/>
      <c r="P27" s="94"/>
      <c r="Q27" s="400">
        <v>0.15</v>
      </c>
      <c r="R27" s="402" t="str">
        <f t="array" ref="R27">IF(B27="","",IFERROR(IF('O6'!$H$17=Data!$J$4,INDEX('KPI6'!E27:P27,COUNT(E27:P27)),IF('O6'!$H$17=Data!$J$2,SUM('KPI6'!E27:P27),IF('O6'!$H$17=Data!$J$3,AVERAGEIF(E27:P27,"&lt;&gt;",E27:P27)))),0))</f>
        <v/>
      </c>
      <c r="T27" s="93">
        <f>'O6'!G17</f>
        <v>0</v>
      </c>
      <c r="U27" s="93"/>
    </row>
    <row r="28" spans="1:21" ht="22" customHeight="1">
      <c r="A28" s="288"/>
      <c r="B28" s="499"/>
      <c r="C28" s="500"/>
      <c r="D28" s="401" t="str">
        <f>IF(B27="","",Lan!$F$58)</f>
        <v/>
      </c>
      <c r="E28" s="95"/>
      <c r="F28" s="95"/>
      <c r="G28" s="95"/>
      <c r="H28" s="95"/>
      <c r="I28" s="95"/>
      <c r="J28" s="95"/>
      <c r="K28" s="95"/>
      <c r="L28" s="95"/>
      <c r="M28" s="95"/>
      <c r="N28" s="95"/>
      <c r="O28" s="95"/>
      <c r="P28" s="95"/>
      <c r="Q28" s="401" t="str">
        <f>IF(B27="","",IFERROR(IF('O6'!$H$17=Data!$J$4,T28,IF('O6'!$H$17=Data!$J$2,SUMIF('KPI6'!E27:P27,"&lt;&gt;",E28:P28),IF('O6'!$H$17=Data!$J$3,AVERAGEIF(E28:P28,"&lt;&gt;",E28:P28)))),0))</f>
        <v/>
      </c>
      <c r="R28" s="403" t="str">
        <f t="array" ref="R28">IF(B27="","",IFERROR(IF('O6'!$H$17=Data!$J$4,INDEX('KPI6'!E28:P28,COUNT(E28:P28)),IF('O6'!$H$17=Data!$J$2,SUM('KPI6'!E28:P28),IF('O6'!$H$17=Data!$J$3,AVERAGE(E28:P28)))),0))</f>
        <v/>
      </c>
      <c r="T28" s="93">
        <f>IF(P27&lt;&gt;"",P28,IF(O27&lt;&gt;"",O28,IF(N27&lt;&gt;"",N28,IF(M27&lt;&gt;"",M28,IF(L27&lt;&gt;"",L28,IF(K27&lt;&gt;"",K28,IF(J27&lt;&gt;"",J28,IF(I27&lt;&gt;"",I28,IF(H27&lt;&gt;"",H28,IF(G27&lt;&gt;"",G28,IF(F27&lt;&gt;"",F28,IF(E27&lt;&gt;"",E28,0))))))))))))</f>
        <v>0</v>
      </c>
      <c r="U28" s="93"/>
    </row>
    <row r="29" spans="1:21" ht="22" customHeight="1" thickBot="1">
      <c r="A29" s="288"/>
      <c r="B29" s="501"/>
      <c r="C29" s="502"/>
      <c r="D29" s="422" t="str">
        <f>IF(B27="","","%")</f>
        <v/>
      </c>
      <c r="E29" s="421" t="str">
        <f t="shared" ref="E29:R29" si="5">IFERROR(IF($B27="","",E27/E28),"")</f>
        <v/>
      </c>
      <c r="F29" s="421" t="str">
        <f t="shared" si="5"/>
        <v/>
      </c>
      <c r="G29" s="421" t="str">
        <f t="shared" si="5"/>
        <v/>
      </c>
      <c r="H29" s="421" t="str">
        <f t="shared" si="5"/>
        <v/>
      </c>
      <c r="I29" s="421" t="str">
        <f t="shared" si="5"/>
        <v/>
      </c>
      <c r="J29" s="421" t="str">
        <f t="shared" si="5"/>
        <v/>
      </c>
      <c r="K29" s="421" t="str">
        <f t="shared" si="5"/>
        <v/>
      </c>
      <c r="L29" s="421" t="str">
        <f t="shared" si="5"/>
        <v/>
      </c>
      <c r="M29" s="421" t="str">
        <f t="shared" si="5"/>
        <v/>
      </c>
      <c r="N29" s="421" t="str">
        <f t="shared" si="5"/>
        <v/>
      </c>
      <c r="O29" s="421" t="str">
        <f t="shared" si="5"/>
        <v/>
      </c>
      <c r="P29" s="421" t="str">
        <f t="shared" si="5"/>
        <v/>
      </c>
      <c r="Q29" s="421" t="str">
        <f t="shared" si="5"/>
        <v/>
      </c>
      <c r="R29" s="421" t="str">
        <f t="shared" si="5"/>
        <v/>
      </c>
      <c r="T29" s="93"/>
      <c r="U29" s="93"/>
    </row>
    <row r="30" spans="1:21" ht="22" customHeight="1">
      <c r="A30" s="288"/>
      <c r="B30" s="497" t="str">
        <f>IF('O6'!B18="","",'O6'!B18)</f>
        <v/>
      </c>
      <c r="C30" s="498"/>
      <c r="D30" s="400" t="str">
        <f>IF(B30="","",Lan!$F$57)</f>
        <v/>
      </c>
      <c r="E30" s="94"/>
      <c r="F30" s="94"/>
      <c r="G30" s="94"/>
      <c r="H30" s="94"/>
      <c r="I30" s="94"/>
      <c r="J30" s="94"/>
      <c r="K30" s="94"/>
      <c r="L30" s="94"/>
      <c r="M30" s="94"/>
      <c r="N30" s="94"/>
      <c r="O30" s="94"/>
      <c r="P30" s="94"/>
      <c r="Q30" s="402" t="str">
        <f t="array" ref="Q30">IF(B30="","",IFERROR(IF('O6'!$H$18=Data!$J$4,INDEX('KPI6'!E30:P30,COUNT(E30:P30)),IF('O6'!$H$18=Data!$J$2,SUM('KPI6'!E30:P30),IF('O6'!$H$18=Data!$J$3,AVERAGEIF(E30:P30,"&lt;&gt;",E30:P30)))),0))</f>
        <v/>
      </c>
      <c r="R30" s="402" t="str">
        <f t="array" ref="R30">IF(B30="","",IFERROR(IF('O6'!$H$18=Data!$J$4,INDEX('KPI6'!E30:P30,COUNT(E30:P30)),IF('O6'!$H$18=Data!$J$2,SUM('KPI6'!E30:P30),IF('O6'!$H$18=Data!$J$3,AVERAGEIF(E30:P30,"&lt;&gt;",E30:P30)))),0))</f>
        <v/>
      </c>
      <c r="T30" s="93">
        <f>'O6'!G18</f>
        <v>0</v>
      </c>
      <c r="U30" s="93"/>
    </row>
    <row r="31" spans="1:21" ht="22" customHeight="1">
      <c r="A31" s="288"/>
      <c r="B31" s="499"/>
      <c r="C31" s="500"/>
      <c r="D31" s="401" t="str">
        <f>IF(B30="","",Lan!$F$58)</f>
        <v/>
      </c>
      <c r="E31" s="95"/>
      <c r="F31" s="95"/>
      <c r="G31" s="95"/>
      <c r="H31" s="95"/>
      <c r="I31" s="95"/>
      <c r="J31" s="95"/>
      <c r="K31" s="95"/>
      <c r="L31" s="95"/>
      <c r="M31" s="95"/>
      <c r="N31" s="95"/>
      <c r="O31" s="95"/>
      <c r="P31" s="95"/>
      <c r="Q31" s="401" t="str">
        <f>IF(B30="","",IFERROR(IF('O6'!$H$18=Data!$J$4,T31,IF('O6'!$H$18=Data!$J$2,SUMIF('KPI6'!E30:P30,"&lt;&gt;",E31:P31),IF('O6'!$H$18=Data!$J$3,AVERAGEIF(E31:P31,"&lt;&gt;",E31:P31)))),0))</f>
        <v/>
      </c>
      <c r="R31" s="403" t="str">
        <f t="array" ref="R31">IF(B30="","",IFERROR(IF('O6'!$H$18=Data!$J$4,INDEX('KPI6'!E31:P31,COUNT(E31:P31)),IF('O6'!$H$18=Data!$J$2,SUM('KPI6'!E31:P31),IF('O6'!$H$18=Data!$J$3,AVERAGE(E31:P31)))),0))</f>
        <v/>
      </c>
      <c r="T31" s="93">
        <f>IF(P30&lt;&gt;"",P31,IF(O30&lt;&gt;"",O31,IF(N30&lt;&gt;"",N31,IF(M30&lt;&gt;"",M31,IF(L30&lt;&gt;"",L31,IF(K30&lt;&gt;"",K31,IF(J30&lt;&gt;"",J31,IF(I30&lt;&gt;"",I31,IF(H30&lt;&gt;"",H31,IF(G30&lt;&gt;"",G31,IF(F30&lt;&gt;"",F31,IF(E30&lt;&gt;"",E31,0))))))))))))</f>
        <v>0</v>
      </c>
      <c r="U31" s="93"/>
    </row>
    <row r="32" spans="1:21" ht="22" customHeight="1" thickBot="1">
      <c r="A32" s="288"/>
      <c r="B32" s="501"/>
      <c r="C32" s="502"/>
      <c r="D32" s="422" t="str">
        <f>IF(B30="","","%")</f>
        <v/>
      </c>
      <c r="E32" s="421" t="str">
        <f t="shared" ref="E32:R32" si="6">IFERROR(IF($B30="","",E30/E31),"")</f>
        <v/>
      </c>
      <c r="F32" s="421" t="str">
        <f t="shared" si="6"/>
        <v/>
      </c>
      <c r="G32" s="421" t="str">
        <f t="shared" si="6"/>
        <v/>
      </c>
      <c r="H32" s="421" t="str">
        <f t="shared" si="6"/>
        <v/>
      </c>
      <c r="I32" s="421" t="str">
        <f t="shared" si="6"/>
        <v/>
      </c>
      <c r="J32" s="421" t="str">
        <f t="shared" si="6"/>
        <v/>
      </c>
      <c r="K32" s="421" t="str">
        <f t="shared" si="6"/>
        <v/>
      </c>
      <c r="L32" s="421" t="str">
        <f t="shared" si="6"/>
        <v/>
      </c>
      <c r="M32" s="421" t="str">
        <f t="shared" si="6"/>
        <v/>
      </c>
      <c r="N32" s="421" t="str">
        <f t="shared" si="6"/>
        <v/>
      </c>
      <c r="O32" s="421" t="str">
        <f t="shared" si="6"/>
        <v/>
      </c>
      <c r="P32" s="421" t="str">
        <f t="shared" si="6"/>
        <v/>
      </c>
      <c r="Q32" s="421" t="str">
        <f t="shared" si="6"/>
        <v/>
      </c>
      <c r="R32" s="421" t="str">
        <f t="shared" si="6"/>
        <v/>
      </c>
      <c r="T32" s="93"/>
      <c r="U32" s="93"/>
    </row>
    <row r="33" spans="1:21" ht="22" customHeight="1">
      <c r="A33" s="288"/>
      <c r="B33" s="497" t="str">
        <f>IF('O6'!B19="","",'O6'!B19)</f>
        <v/>
      </c>
      <c r="C33" s="498"/>
      <c r="D33" s="400" t="str">
        <f>IF(B33="","",Lan!$F$57)</f>
        <v/>
      </c>
      <c r="E33" s="94"/>
      <c r="F33" s="94"/>
      <c r="G33" s="94"/>
      <c r="H33" s="94"/>
      <c r="I33" s="94"/>
      <c r="J33" s="94"/>
      <c r="K33" s="94"/>
      <c r="L33" s="94"/>
      <c r="M33" s="94"/>
      <c r="N33" s="94"/>
      <c r="O33" s="94"/>
      <c r="P33" s="94"/>
      <c r="Q33" s="402" t="str">
        <f t="array" ref="Q33">IF(B33="","",IFERROR(IF('O6'!$H$19=Data!$J$4,INDEX('KPI6'!E33:P33,COUNT(E33:P33)),IF('O6'!$H$19=Data!$J$2,SUM('KPI6'!E33:P33),IF('O6'!$H$19=Data!$J$3,AVERAGEIF(E33:P33,"&lt;&gt;",E33:P33)))),0))</f>
        <v/>
      </c>
      <c r="R33" s="402" t="str">
        <f t="array" ref="R33">IF(B33="","",IFERROR(IF('O6'!$H$19=Data!$J$4,INDEX('KPI6'!E33:P33,COUNT(E33:P33)),IF('O6'!$H$19=Data!$J$2,SUM('KPI6'!E33:P33),IF('O6'!$H$19=Data!$J$3,AVERAGEIF(E33:P33,"&lt;&gt;",E33:P33)))),0))</f>
        <v/>
      </c>
      <c r="T33" s="93">
        <f>'O6'!G19</f>
        <v>0</v>
      </c>
      <c r="U33" s="93"/>
    </row>
    <row r="34" spans="1:21" ht="22" customHeight="1">
      <c r="A34" s="288"/>
      <c r="B34" s="499"/>
      <c r="C34" s="500"/>
      <c r="D34" s="401" t="str">
        <f>IF(B33="","",Lan!$F$58)</f>
        <v/>
      </c>
      <c r="E34" s="95"/>
      <c r="F34" s="95"/>
      <c r="G34" s="95"/>
      <c r="H34" s="95"/>
      <c r="I34" s="95"/>
      <c r="J34" s="95"/>
      <c r="K34" s="95"/>
      <c r="L34" s="95"/>
      <c r="M34" s="95"/>
      <c r="N34" s="95"/>
      <c r="O34" s="95"/>
      <c r="P34" s="95"/>
      <c r="Q34" s="401" t="str">
        <f>IF(B33="","",IFERROR(IF('O6'!$H$19=Data!$J$4,T34,IF('O6'!$H$19=Data!$J$2,SUMIF('KPI6'!E33:P33,"&lt;&gt;",E34:P34),IF('O6'!$H$19=Data!$J$3,AVERAGEIF(E34:P34,"&lt;&gt;",E34:P34)))),0))</f>
        <v/>
      </c>
      <c r="R34" s="403" t="str">
        <f t="array" ref="R34">IF(B33="","",IFERROR(IF('O6'!$H$19=Data!$J$4,INDEX('KPI6'!E34:P34,COUNT(E34:P34)),IF('O6'!$H$19=Data!$J$2,SUM('KPI6'!E34:P34),IF('O6'!$H$19=Data!$J$3,AVERAGE(E34:P34)))),0))</f>
        <v/>
      </c>
      <c r="T34" s="93">
        <f>IF(P33&lt;&gt;"",P34,IF(O33&lt;&gt;"",O34,IF(N33&lt;&gt;"",N34,IF(M33&lt;&gt;"",M34,IF(L33&lt;&gt;"",L34,IF(K33&lt;&gt;"",K34,IF(J33&lt;&gt;"",J34,IF(I33&lt;&gt;"",I34,IF(H33&lt;&gt;"",H34,IF(G33&lt;&gt;"",G34,IF(F33&lt;&gt;"",F34,IF(E33&lt;&gt;"",E34,0))))))))))))</f>
        <v>0</v>
      </c>
      <c r="U34" s="93"/>
    </row>
    <row r="35" spans="1:21" ht="22" customHeight="1" thickBot="1">
      <c r="A35" s="288"/>
      <c r="B35" s="501"/>
      <c r="C35" s="502"/>
      <c r="D35" s="422" t="str">
        <f>IF(B33="","","%")</f>
        <v/>
      </c>
      <c r="E35" s="421" t="str">
        <f t="shared" ref="E35:R35" si="7">IFERROR(IF($B33="","",E33/E34),"")</f>
        <v/>
      </c>
      <c r="F35" s="421" t="str">
        <f t="shared" si="7"/>
        <v/>
      </c>
      <c r="G35" s="421" t="str">
        <f t="shared" si="7"/>
        <v/>
      </c>
      <c r="H35" s="421" t="str">
        <f t="shared" si="7"/>
        <v/>
      </c>
      <c r="I35" s="421" t="str">
        <f t="shared" si="7"/>
        <v/>
      </c>
      <c r="J35" s="421" t="str">
        <f t="shared" si="7"/>
        <v/>
      </c>
      <c r="K35" s="421" t="str">
        <f t="shared" si="7"/>
        <v/>
      </c>
      <c r="L35" s="421" t="str">
        <f t="shared" si="7"/>
        <v/>
      </c>
      <c r="M35" s="421" t="str">
        <f t="shared" si="7"/>
        <v/>
      </c>
      <c r="N35" s="421" t="str">
        <f t="shared" si="7"/>
        <v/>
      </c>
      <c r="O35" s="421" t="str">
        <f t="shared" si="7"/>
        <v/>
      </c>
      <c r="P35" s="421" t="str">
        <f t="shared" si="7"/>
        <v/>
      </c>
      <c r="Q35" s="421" t="str">
        <f t="shared" si="7"/>
        <v/>
      </c>
      <c r="R35" s="421" t="str">
        <f t="shared" si="7"/>
        <v/>
      </c>
      <c r="T35" s="93"/>
      <c r="U35" s="93"/>
    </row>
    <row r="36" spans="1:21" ht="22" customHeight="1">
      <c r="A36" s="288"/>
      <c r="B36" s="497" t="str">
        <f>IF('O6'!B20="","",'O6'!B20)</f>
        <v/>
      </c>
      <c r="C36" s="498"/>
      <c r="D36" s="400" t="str">
        <f>IF(B36="","",Lan!$F$57)</f>
        <v/>
      </c>
      <c r="E36" s="94"/>
      <c r="F36" s="94"/>
      <c r="G36" s="94"/>
      <c r="H36" s="94"/>
      <c r="I36" s="94"/>
      <c r="J36" s="94"/>
      <c r="K36" s="94"/>
      <c r="L36" s="94"/>
      <c r="M36" s="94"/>
      <c r="N36" s="94"/>
      <c r="O36" s="94"/>
      <c r="P36" s="94"/>
      <c r="Q36" s="402" t="str">
        <f t="array" ref="Q36">IF(B36="","",IFERROR(IF('O6'!$H$20=Data!$J$4,INDEX('KPI6'!E36:P36,COUNT(E36:P36)),IF('O6'!$H$20=Data!$J$2,SUM('KPI6'!E36:P36),IF('O6'!$H$20=Data!$J$3,AVERAGEIF(E36:P36,"&lt;&gt;",E36:P36)))),0))</f>
        <v/>
      </c>
      <c r="R36" s="402" t="str">
        <f t="array" ref="R36">IF(B36="","",IFERROR(IF('O6'!$H$20=Data!$J$4,INDEX('KPI6'!E36:P36,COUNT(E36:P36)),IF('O6'!$H$20=Data!$J$2,SUM('KPI6'!E36:P36),IF('O6'!$H$20=Data!$J$3,AVERAGEIF(E36:P36,"&lt;&gt;",E36:P36)))),0))</f>
        <v/>
      </c>
      <c r="T36" s="93">
        <f>'O6'!G20</f>
        <v>0</v>
      </c>
      <c r="U36" s="93"/>
    </row>
    <row r="37" spans="1:21" ht="22" customHeight="1">
      <c r="A37" s="288"/>
      <c r="B37" s="499"/>
      <c r="C37" s="500"/>
      <c r="D37" s="401" t="str">
        <f>IF(B36="","",Lan!$F$58)</f>
        <v/>
      </c>
      <c r="E37" s="95"/>
      <c r="F37" s="95"/>
      <c r="G37" s="95"/>
      <c r="H37" s="95"/>
      <c r="I37" s="95"/>
      <c r="J37" s="95"/>
      <c r="K37" s="95"/>
      <c r="L37" s="95"/>
      <c r="M37" s="95"/>
      <c r="N37" s="95"/>
      <c r="O37" s="95"/>
      <c r="P37" s="95"/>
      <c r="Q37" s="401" t="str">
        <f>IF(B36="","",IFERROR(IF('O6'!$H$20=Data!$J$4,T37,IF('O6'!$H$20=Data!$J$2,SUMIF('KPI6'!E36:P36,"&lt;&gt;",E37:P37),IF('O6'!$H$20=Data!$J$3,AVERAGEIF(E37:P37,"&lt;&gt;",E37:P37)))),0))</f>
        <v/>
      </c>
      <c r="R37" s="403" t="str">
        <f t="array" ref="R37">IF(B36="","",IFERROR(IF('O6'!$H$20=Data!$J$4,INDEX('KPI6'!E37:P37,COUNT(E37:P37)),IF('O6'!$H$20=Data!$J$2,SUM('KPI6'!E37:P37),IF('O6'!$H$20=Data!$J$3,AVERAGE(E37:P37)))),0))</f>
        <v/>
      </c>
      <c r="T37" s="93">
        <f>IF(P36&lt;&gt;"",P37,IF(O36&lt;&gt;"",O37,IF(N36&lt;&gt;"",N37,IF(M36&lt;&gt;"",M37,IF(L36&lt;&gt;"",L37,IF(K36&lt;&gt;"",K37,IF(J36&lt;&gt;"",J37,IF(I36&lt;&gt;"",I37,IF(H36&lt;&gt;"",H37,IF(G36&lt;&gt;"",G37,IF(F36&lt;&gt;"",F37,IF(E36&lt;&gt;"",E37,0))))))))))))</f>
        <v>0</v>
      </c>
      <c r="U37" s="93"/>
    </row>
    <row r="38" spans="1:21" ht="22" customHeight="1" thickBot="1">
      <c r="A38" s="288"/>
      <c r="B38" s="501"/>
      <c r="C38" s="502"/>
      <c r="D38" s="422" t="str">
        <f>IF(B36="","","%")</f>
        <v/>
      </c>
      <c r="E38" s="421" t="str">
        <f t="shared" ref="E38:R38" si="8">IFERROR(IF($B36="","",E36/E37),"")</f>
        <v/>
      </c>
      <c r="F38" s="421" t="str">
        <f t="shared" si="8"/>
        <v/>
      </c>
      <c r="G38" s="421" t="str">
        <f t="shared" si="8"/>
        <v/>
      </c>
      <c r="H38" s="421" t="str">
        <f t="shared" si="8"/>
        <v/>
      </c>
      <c r="I38" s="421" t="str">
        <f t="shared" si="8"/>
        <v/>
      </c>
      <c r="J38" s="421" t="str">
        <f t="shared" si="8"/>
        <v/>
      </c>
      <c r="K38" s="421" t="str">
        <f t="shared" si="8"/>
        <v/>
      </c>
      <c r="L38" s="421" t="str">
        <f t="shared" si="8"/>
        <v/>
      </c>
      <c r="M38" s="421" t="str">
        <f t="shared" si="8"/>
        <v/>
      </c>
      <c r="N38" s="421" t="str">
        <f t="shared" si="8"/>
        <v/>
      </c>
      <c r="O38" s="421" t="str">
        <f t="shared" si="8"/>
        <v/>
      </c>
      <c r="P38" s="421" t="str">
        <f t="shared" si="8"/>
        <v/>
      </c>
      <c r="Q38" s="421" t="str">
        <f t="shared" si="8"/>
        <v/>
      </c>
      <c r="R38" s="421" t="str">
        <f t="shared" si="8"/>
        <v/>
      </c>
      <c r="T38" s="93"/>
      <c r="U38" s="93"/>
    </row>
    <row r="39" spans="1:21" ht="22" customHeight="1">
      <c r="A39" s="288"/>
      <c r="B39" s="497" t="str">
        <f>IF('O6'!B21="","",'O6'!B21)</f>
        <v/>
      </c>
      <c r="C39" s="498"/>
      <c r="D39" s="400" t="str">
        <f>IF(B39="","",Lan!$F$57)</f>
        <v/>
      </c>
      <c r="E39" s="94"/>
      <c r="F39" s="94"/>
      <c r="G39" s="94"/>
      <c r="H39" s="94"/>
      <c r="I39" s="94"/>
      <c r="J39" s="94"/>
      <c r="K39" s="94"/>
      <c r="L39" s="94"/>
      <c r="M39" s="94"/>
      <c r="N39" s="94"/>
      <c r="O39" s="94"/>
      <c r="P39" s="94"/>
      <c r="Q39" s="402" t="str">
        <f t="array" ref="Q39">IF(B39="","",IFERROR(IF('O6'!$H$21=Data!$J$4,INDEX('KPI6'!E39:P39,COUNT(E39:P39)),IF('O6'!$H$21=Data!$J$2,SUM('KPI6'!E39:P39),IF('O6'!$H$21=Data!$J$3,AVERAGEIF(E39:P39,"&lt;&gt;",E39:P39)))),0))</f>
        <v/>
      </c>
      <c r="R39" s="402" t="str">
        <f t="array" ref="R39">IF(B39="","",IFERROR(IF('O6'!$H$21=Data!$J$4,INDEX('KPI6'!E39:P39,COUNT(E39:P39)),IF('O6'!$H$21=Data!$J$2,SUM('KPI6'!E39:P39),IF('O6'!$H$21=Data!$J$3,AVERAGEIF(E39:P39,"&lt;&gt;",E39:P39)))),0))</f>
        <v/>
      </c>
      <c r="T39" s="93">
        <f>'O6'!G21</f>
        <v>0</v>
      </c>
      <c r="U39" s="93"/>
    </row>
    <row r="40" spans="1:21" ht="22" customHeight="1">
      <c r="A40" s="288"/>
      <c r="B40" s="499"/>
      <c r="C40" s="500"/>
      <c r="D40" s="401" t="str">
        <f>IF(B39="","",Lan!$F$58)</f>
        <v/>
      </c>
      <c r="E40" s="95"/>
      <c r="F40" s="95"/>
      <c r="G40" s="95"/>
      <c r="H40" s="95"/>
      <c r="I40" s="95"/>
      <c r="J40" s="95"/>
      <c r="K40" s="95"/>
      <c r="L40" s="95"/>
      <c r="M40" s="95"/>
      <c r="N40" s="95"/>
      <c r="O40" s="95"/>
      <c r="P40" s="95"/>
      <c r="Q40" s="401" t="str">
        <f>IF(B39="","",IFERROR(IF('O6'!$H$21=Data!$J$4,T40,IF('O6'!$H$21=Data!$J$2,SUMIF('KPI6'!E39:P39,"&lt;&gt;",E40:P40),IF('O6'!$H$21=Data!$J$3,AVERAGEIF(E40:P40,"&lt;&gt;",E40:P40)))),0))</f>
        <v/>
      </c>
      <c r="R40" s="403" t="str">
        <f t="array" ref="R40">IF(B39="","",IFERROR(IF('O6'!$H$21=Data!$J$4,INDEX('KPI6'!E40:P40,COUNT(E40:P40)),IF('O6'!$H$21=Data!$J$2,SUM('KPI6'!E40:P40),IF('O6'!$H$21=Data!$J$3,AVERAGE(E40:P40)))),0))</f>
        <v/>
      </c>
      <c r="T40" s="93">
        <f>IF(P39&lt;&gt;"",P40,IF(O39&lt;&gt;"",O40,IF(N39&lt;&gt;"",N40,IF(M39&lt;&gt;"",M40,IF(L39&lt;&gt;"",L40,IF(K39&lt;&gt;"",K40,IF(J39&lt;&gt;"",J40,IF(I39&lt;&gt;"",I40,IF(H39&lt;&gt;"",H40,IF(G39&lt;&gt;"",G40,IF(F39&lt;&gt;"",F40,IF(E39&lt;&gt;"",E40,0))))))))))))</f>
        <v>0</v>
      </c>
      <c r="U40" s="93"/>
    </row>
    <row r="41" spans="1:21" ht="22" customHeight="1" thickBot="1">
      <c r="A41" s="288"/>
      <c r="B41" s="501"/>
      <c r="C41" s="502"/>
      <c r="D41" s="422" t="str">
        <f>IF(B39="","","%")</f>
        <v/>
      </c>
      <c r="E41" s="423" t="str">
        <f t="shared" ref="E41:R41" si="9">IFERROR(IF($B39="","",E39/E40),"")</f>
        <v/>
      </c>
      <c r="F41" s="423" t="str">
        <f t="shared" si="9"/>
        <v/>
      </c>
      <c r="G41" s="423" t="str">
        <f t="shared" si="9"/>
        <v/>
      </c>
      <c r="H41" s="423" t="str">
        <f t="shared" si="9"/>
        <v/>
      </c>
      <c r="I41" s="423" t="str">
        <f t="shared" si="9"/>
        <v/>
      </c>
      <c r="J41" s="423" t="str">
        <f t="shared" si="9"/>
        <v/>
      </c>
      <c r="K41" s="423" t="str">
        <f t="shared" si="9"/>
        <v/>
      </c>
      <c r="L41" s="423" t="str">
        <f t="shared" si="9"/>
        <v/>
      </c>
      <c r="M41" s="423" t="str">
        <f t="shared" si="9"/>
        <v/>
      </c>
      <c r="N41" s="423" t="str">
        <f t="shared" si="9"/>
        <v/>
      </c>
      <c r="O41" s="423" t="str">
        <f t="shared" si="9"/>
        <v/>
      </c>
      <c r="P41" s="423" t="str">
        <f t="shared" si="9"/>
        <v/>
      </c>
      <c r="Q41" s="423" t="str">
        <f t="shared" si="9"/>
        <v/>
      </c>
      <c r="R41" s="423" t="str">
        <f t="shared" si="9"/>
        <v/>
      </c>
      <c r="T41" s="93"/>
      <c r="U41" s="93"/>
    </row>
    <row r="42" spans="1:21" ht="21" customHeight="1">
      <c r="A42" s="288"/>
      <c r="B42" s="299"/>
      <c r="C42" s="288"/>
      <c r="D42" s="288"/>
      <c r="E42" s="288"/>
      <c r="F42" s="288"/>
      <c r="G42" s="288"/>
      <c r="H42" s="288"/>
    </row>
    <row r="43" spans="1:21" ht="21" customHeight="1">
      <c r="A43" s="288"/>
      <c r="B43" s="299"/>
      <c r="C43" s="288"/>
      <c r="D43" s="288"/>
      <c r="E43" s="288"/>
      <c r="F43" s="288"/>
      <c r="G43" s="288"/>
      <c r="H43" s="288"/>
    </row>
    <row r="44" spans="1:21" ht="21" customHeight="1">
      <c r="A44" s="288"/>
      <c r="B44" s="299"/>
      <c r="C44" s="288"/>
      <c r="D44" s="288"/>
      <c r="E44" s="288"/>
      <c r="F44" s="288"/>
      <c r="G44" s="288"/>
      <c r="H44" s="288"/>
    </row>
    <row r="45" spans="1:21" ht="21" customHeight="1">
      <c r="A45" s="288"/>
      <c r="B45" s="299"/>
      <c r="C45" s="288"/>
      <c r="D45" s="288"/>
      <c r="E45" s="288"/>
      <c r="F45" s="288"/>
      <c r="G45" s="288"/>
      <c r="H45" s="288"/>
    </row>
    <row r="46" spans="1:21" ht="21" customHeight="1">
      <c r="A46" s="288"/>
      <c r="B46" s="299"/>
      <c r="C46" s="288"/>
      <c r="D46" s="288"/>
      <c r="E46" s="288"/>
      <c r="F46" s="288"/>
      <c r="G46" s="288"/>
      <c r="H46" s="288"/>
    </row>
    <row r="47" spans="1:21" ht="20" customHeight="1">
      <c r="A47" s="288"/>
      <c r="B47" s="299"/>
      <c r="C47" s="288"/>
      <c r="D47" s="288"/>
      <c r="E47" s="288"/>
      <c r="F47" s="288"/>
      <c r="G47" s="288"/>
      <c r="H47" s="288"/>
    </row>
    <row r="48" spans="1:21" ht="20" customHeight="1">
      <c r="A48" s="288"/>
      <c r="B48" s="299"/>
      <c r="C48" s="288"/>
      <c r="D48" s="288"/>
      <c r="E48" s="288"/>
      <c r="F48" s="288"/>
      <c r="G48" s="288"/>
      <c r="H48" s="288"/>
    </row>
    <row r="49" spans="1:8" ht="20" customHeight="1">
      <c r="A49" s="288"/>
      <c r="B49" s="299"/>
      <c r="C49" s="288"/>
      <c r="D49" s="288"/>
      <c r="E49" s="288"/>
      <c r="F49" s="288"/>
      <c r="G49" s="288"/>
      <c r="H49" s="288"/>
    </row>
    <row r="50" spans="1:8" ht="20" customHeight="1">
      <c r="A50" s="288"/>
      <c r="B50" s="299"/>
      <c r="C50" s="288"/>
      <c r="D50" s="288"/>
      <c r="E50" s="288"/>
      <c r="F50" s="288"/>
      <c r="G50" s="288"/>
      <c r="H50" s="288"/>
    </row>
    <row r="51" spans="1:8" ht="20" customHeight="1">
      <c r="A51" s="288"/>
      <c r="B51" s="299"/>
      <c r="C51" s="288"/>
      <c r="D51" s="288"/>
      <c r="E51" s="288"/>
      <c r="F51" s="288"/>
      <c r="G51" s="288"/>
      <c r="H51" s="288"/>
    </row>
    <row r="52" spans="1:8" ht="20" customHeight="1">
      <c r="A52" s="288"/>
      <c r="B52" s="299"/>
      <c r="C52" s="288"/>
      <c r="D52" s="288"/>
      <c r="E52" s="288"/>
      <c r="F52" s="288"/>
      <c r="G52" s="288"/>
      <c r="H52" s="288"/>
    </row>
    <row r="53" spans="1:8" ht="20" customHeight="1">
      <c r="A53" s="288"/>
      <c r="B53" s="299"/>
      <c r="C53" s="288"/>
      <c r="D53" s="288"/>
      <c r="E53" s="288"/>
      <c r="F53" s="288"/>
      <c r="G53" s="288"/>
      <c r="H53" s="288"/>
    </row>
    <row r="54" spans="1:8" ht="20" customHeight="1">
      <c r="A54" s="288"/>
      <c r="B54" s="300"/>
      <c r="C54" s="288"/>
      <c r="D54" s="288"/>
      <c r="E54" s="288"/>
      <c r="F54" s="288"/>
      <c r="G54" s="288"/>
      <c r="H54" s="288"/>
    </row>
    <row r="55" spans="1:8" ht="20" customHeight="1"/>
    <row r="56" spans="1:8" ht="20" customHeight="1"/>
    <row r="57" spans="1:8" ht="20" customHeight="1"/>
    <row r="58" spans="1:8" ht="20" customHeight="1"/>
    <row r="59" spans="1:8" ht="20" customHeight="1"/>
    <row r="60" spans="1:8" ht="20" customHeight="1"/>
    <row r="61" spans="1:8" ht="20" customHeight="1"/>
    <row r="62" spans="1:8" ht="20" customHeight="1"/>
    <row r="63" spans="1:8" ht="20" customHeight="1"/>
    <row r="64" spans="1:8"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s="290" customFormat="1" ht="20" customHeight="1"/>
    <row r="82" s="290" customFormat="1" ht="20" customHeight="1"/>
    <row r="83" s="290" customFormat="1" ht="20" customHeight="1"/>
    <row r="84" s="290" customFormat="1" ht="20" customHeight="1"/>
    <row r="85" s="290" customFormat="1" ht="20" customHeight="1"/>
    <row r="86" s="290" customFormat="1" ht="20" customHeight="1"/>
    <row r="87" s="290" customFormat="1" ht="20" customHeight="1"/>
  </sheetData>
  <sheetProtection formatCells="0" formatColumns="0" formatRows="0" selectLockedCells="1" sort="0" autoFilter="0" pivotTables="0"/>
  <mergeCells count="11">
    <mergeCell ref="B18:C20"/>
    <mergeCell ref="B11:C11"/>
    <mergeCell ref="B12:C14"/>
    <mergeCell ref="B15:C17"/>
    <mergeCell ref="B39:C41"/>
    <mergeCell ref="B21:C23"/>
    <mergeCell ref="B24:C26"/>
    <mergeCell ref="B27:C29"/>
    <mergeCell ref="B30:C32"/>
    <mergeCell ref="B33:C35"/>
    <mergeCell ref="B36:C38"/>
  </mergeCells>
  <conditionalFormatting sqref="B10:G10">
    <cfRule type="expression" dxfId="363" priority="1">
      <formula>B$10=""</formula>
    </cfRule>
  </conditionalFormatting>
  <conditionalFormatting sqref="B12:R14">
    <cfRule type="expression" dxfId="362" priority="4">
      <formula>$B$12=""</formula>
    </cfRule>
  </conditionalFormatting>
  <conditionalFormatting sqref="B15:R17">
    <cfRule type="expression" dxfId="361" priority="5">
      <formula>$B$15=""</formula>
    </cfRule>
  </conditionalFormatting>
  <conditionalFormatting sqref="B18:R20">
    <cfRule type="expression" dxfId="360" priority="6">
      <formula>$B$18=""</formula>
    </cfRule>
  </conditionalFormatting>
  <conditionalFormatting sqref="B21:R23">
    <cfRule type="expression" dxfId="359" priority="7">
      <formula>$B$21=""</formula>
    </cfRule>
  </conditionalFormatting>
  <conditionalFormatting sqref="B24:R26">
    <cfRule type="expression" dxfId="358" priority="8">
      <formula>$B$24=""</formula>
    </cfRule>
  </conditionalFormatting>
  <conditionalFormatting sqref="B27:R29">
    <cfRule type="expression" dxfId="357" priority="9">
      <formula>$B$27=""</formula>
    </cfRule>
  </conditionalFormatting>
  <conditionalFormatting sqref="B30:R32">
    <cfRule type="expression" dxfId="356" priority="10">
      <formula>$B$30=""</formula>
    </cfRule>
  </conditionalFormatting>
  <conditionalFormatting sqref="B33:R35">
    <cfRule type="expression" dxfId="355" priority="11">
      <formula>$B$33=""</formula>
    </cfRule>
  </conditionalFormatting>
  <conditionalFormatting sqref="B36:R38">
    <cfRule type="expression" dxfId="354" priority="12">
      <formula>$B$36=""</formula>
    </cfRule>
  </conditionalFormatting>
  <conditionalFormatting sqref="B39:R41">
    <cfRule type="expression" dxfId="353" priority="13">
      <formula>$B$39=""</formula>
    </cfRule>
  </conditionalFormatting>
  <conditionalFormatting sqref="E14:R14">
    <cfRule type="expression" dxfId="342" priority="153">
      <formula>AND(E14&lt;$T$8,$T12="↑")</formula>
    </cfRule>
    <cfRule type="expression" dxfId="341" priority="150">
      <formula>AND(E14&lt;=$T$8,$T12="↓")</formula>
    </cfRule>
    <cfRule type="expression" dxfId="340" priority="152">
      <formula>AND(E14&gt;=$T$8,$T12="↑")</formula>
    </cfRule>
    <cfRule type="expression" dxfId="339" priority="151">
      <formula>AND(E14&gt;$T$8,$T12="↓")</formula>
    </cfRule>
  </conditionalFormatting>
  <conditionalFormatting sqref="E17:R17">
    <cfRule type="expression" dxfId="328" priority="149">
      <formula>AND(E17&lt;$T$8,$T15="↑")</formula>
    </cfRule>
    <cfRule type="expression" dxfId="327" priority="148">
      <formula>AND(E17&gt;=$T$8,$T15="↑")</formula>
    </cfRule>
    <cfRule type="expression" dxfId="326" priority="147">
      <formula>AND(E17&gt;$T$8,$T15="↓")</formula>
    </cfRule>
    <cfRule type="expression" dxfId="325" priority="146">
      <formula>AND(E17&lt;=$T$8,$T15="↓")</formula>
    </cfRule>
  </conditionalFormatting>
  <conditionalFormatting sqref="E20:R20">
    <cfRule type="expression" dxfId="314" priority="143">
      <formula>AND(E20&gt;$T$8,$T18="↓")</formula>
    </cfRule>
    <cfRule type="expression" dxfId="313" priority="142">
      <formula>AND(E20&lt;=$T$8,$T18="↓")</formula>
    </cfRule>
    <cfRule type="expression" dxfId="312" priority="145">
      <formula>AND(E20&lt;$T$8,$T18="↑")</formula>
    </cfRule>
    <cfRule type="expression" dxfId="311" priority="144">
      <formula>AND(E20&gt;=$T$8,$T18="↑")</formula>
    </cfRule>
  </conditionalFormatting>
  <conditionalFormatting sqref="E23:R23">
    <cfRule type="expression" dxfId="300" priority="140">
      <formula>AND(E23&gt;=$T$8,$T21="↑")</formula>
    </cfRule>
    <cfRule type="expression" dxfId="299" priority="141">
      <formula>AND(E23&lt;$T$8,$T21="↑")</formula>
    </cfRule>
    <cfRule type="expression" dxfId="298" priority="139">
      <formula>AND(E23&gt;$T$8,$T21="↓")</formula>
    </cfRule>
    <cfRule type="expression" dxfId="297" priority="138">
      <formula>AND(E23&lt;=$T$8,$T21="↓")</formula>
    </cfRule>
  </conditionalFormatting>
  <conditionalFormatting sqref="E26:R26">
    <cfRule type="expression" dxfId="286" priority="135">
      <formula>AND(E26&gt;$T$8,$T24="↓")</formula>
    </cfRule>
    <cfRule type="expression" dxfId="285" priority="134">
      <formula>AND(E26&lt;=$T$8,$T24="↓")</formula>
    </cfRule>
    <cfRule type="expression" dxfId="284" priority="137">
      <formula>AND(E26&lt;$T$8,$T24="↑")</formula>
    </cfRule>
    <cfRule type="expression" dxfId="283" priority="136">
      <formula>AND(E26&gt;=$T$8,$T24="↑")</formula>
    </cfRule>
  </conditionalFormatting>
  <conditionalFormatting sqref="E29:R29">
    <cfRule type="expression" dxfId="272" priority="132">
      <formula>AND(E29&gt;=$T$8,$T27="↑")</formula>
    </cfRule>
    <cfRule type="expression" dxfId="271" priority="130">
      <formula>AND(E29&lt;=$T$8,$T27="↓")</formula>
    </cfRule>
    <cfRule type="expression" dxfId="270" priority="133">
      <formula>AND(E29&lt;$T$8,$T27="↑")</formula>
    </cfRule>
    <cfRule type="expression" dxfId="269" priority="131">
      <formula>AND(E29&gt;$T$8,$T27="↓")</formula>
    </cfRule>
  </conditionalFormatting>
  <conditionalFormatting sqref="E32:R32">
    <cfRule type="expression" dxfId="258" priority="126">
      <formula>AND(E32&lt;=$T$8,$T30="↓")</formula>
    </cfRule>
    <cfRule type="expression" dxfId="257" priority="129">
      <formula>AND(E32&lt;$T$8,$T30="↑")</formula>
    </cfRule>
    <cfRule type="expression" dxfId="256" priority="128">
      <formula>AND(E32&gt;=$T$8,$T30="↑")</formula>
    </cfRule>
    <cfRule type="expression" dxfId="255" priority="127">
      <formula>AND(E32&gt;$T$8,$T30="↓")</formula>
    </cfRule>
  </conditionalFormatting>
  <conditionalFormatting sqref="E35:R35">
    <cfRule type="expression" dxfId="244" priority="122">
      <formula>AND(E35&lt;=$T$8,$T33="↓")</formula>
    </cfRule>
    <cfRule type="expression" dxfId="243" priority="123">
      <formula>AND(E35&gt;$T$8,$T33="↓")</formula>
    </cfRule>
    <cfRule type="expression" dxfId="242" priority="124">
      <formula>AND(E35&gt;=$T$8,$T33="↑")</formula>
    </cfRule>
    <cfRule type="expression" dxfId="241" priority="125">
      <formula>AND(E35&lt;$T$8,$T33="↑")</formula>
    </cfRule>
  </conditionalFormatting>
  <conditionalFormatting sqref="E38:R38">
    <cfRule type="expression" dxfId="230" priority="121">
      <formula>AND(E38&lt;$T$8,$T36="↑")</formula>
    </cfRule>
    <cfRule type="expression" dxfId="229" priority="120">
      <formula>AND(E38&gt;=$T$8,$T36="↑")</formula>
    </cfRule>
    <cfRule type="expression" dxfId="228" priority="119">
      <formula>AND(E38&gt;$T$8,$T36="↓")</formula>
    </cfRule>
    <cfRule type="expression" dxfId="227" priority="118">
      <formula>AND(E38&lt;=$T$8,$T36="↓")</formula>
    </cfRule>
  </conditionalFormatting>
  <conditionalFormatting sqref="E41:R41">
    <cfRule type="expression" dxfId="216" priority="114">
      <formula>AND(E41&lt;=$T$8,$T39="↓")</formula>
    </cfRule>
    <cfRule type="expression" dxfId="215" priority="115">
      <formula>AND(E41&gt;$T$8,$T39="↓")</formula>
    </cfRule>
    <cfRule type="expression" dxfId="214" priority="116">
      <formula>AND(E41&gt;=$T$8,$T39="↑")</formula>
    </cfRule>
    <cfRule type="expression" dxfId="213" priority="117">
      <formula>AND(E41&lt;$T$8,$T39="↑")</formula>
    </cfRule>
  </conditionalFormatting>
  <hyperlinks>
    <hyperlink ref="B10" location="'KPI1'!A1" display="'KPI1'!A1" xr:uid="{2698CCE1-6B9D-42F2-9D79-128C8FAB2766}"/>
    <hyperlink ref="C10" location="'KPI2'!A1" display="'KPI2'!A1" xr:uid="{CB854081-7E10-4567-96D9-D099824200B0}"/>
    <hyperlink ref="D10" location="'KPI3'!A1" display="'KPI3'!A1" xr:uid="{2CBBD1D4-6468-4891-8218-9AA117A8AA6C}"/>
    <hyperlink ref="E10" location="'KPI4'!A1" display="'KPI4'!A1" xr:uid="{E695E427-50FE-4D36-BC08-E3AE297AFEC6}"/>
    <hyperlink ref="F10" location="'KPI5'!A1" display="'KPI5'!A1" xr:uid="{9BF16598-D1AA-426D-A914-F3E5780A50C5}"/>
    <hyperlink ref="G10" location="'KPI6'!A1" display="'KPI6'!A1" xr:uid="{3FE613A5-8130-4001-B71F-5E8B229AE698}"/>
  </hyperlinks>
  <pageMargins left="0.25" right="0.25" top="0.75" bottom="0.75" header="0.3" footer="0.3"/>
  <pageSetup scale="4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13" id="{214D7797-AB18-406F-B086-2A218C20DFFC}">
            <xm:f>'O6'!$F$12=Data!$H$2</xm:f>
            <x14:dxf>
              <numFmt numFmtId="13" formatCode="0%"/>
            </x14:dxf>
          </x14:cfRule>
          <x14:cfRule type="expression" priority="112" id="{0A2640CA-5E09-4ABB-8381-13156D059225}">
            <xm:f>'O6'!$F$12=Data!$H$3</xm:f>
            <x14:dxf>
              <numFmt numFmtId="165" formatCode="0.0%"/>
            </x14:dxf>
          </x14:cfRule>
          <x14:cfRule type="expression" priority="111" id="{E0067B01-B6FC-4745-AE27-52D4ADF685C2}">
            <xm:f>'O6'!$F$12=Data!$H$4</xm:f>
            <x14:dxf>
              <numFmt numFmtId="3" formatCode="#,##0"/>
            </x14:dxf>
          </x14:cfRule>
          <x14:cfRule type="expression" priority="110" id="{32B24DA2-A1BB-4D2E-8FBE-1A30E73289FB}">
            <xm:f>'O6'!$F$12=Data!$H$5</xm:f>
            <x14:dxf>
              <numFmt numFmtId="173" formatCode="0.0"/>
            </x14:dxf>
          </x14:cfRule>
          <x14:cfRule type="expression" priority="109" id="{28BAEDAF-952B-4CEA-B43D-3E979CDEA805}">
            <xm:f>'O6'!$F$12=Data!$H$6</xm:f>
            <x14:dxf>
              <numFmt numFmtId="169" formatCode="#,##0\ &quot;$&quot;"/>
            </x14:dxf>
          </x14:cfRule>
          <x14:cfRule type="expression" priority="108" id="{33F186A0-E3F9-41D6-A0BF-241FD96CC21B}">
            <xm:f>'O6'!$F$12=Data!$H$7</xm:f>
            <x14:dxf>
              <numFmt numFmtId="168" formatCode="[$$-409]#,##0"/>
            </x14:dxf>
          </x14:cfRule>
          <x14:cfRule type="expression" priority="107" id="{A9445AF7-82FE-45E5-B2BB-BD24CBBE8277}">
            <xm:f>'O6'!$F$12=Data!$H$8</xm:f>
            <x14:dxf>
              <numFmt numFmtId="167" formatCode="#,##0\ [$€-1]"/>
            </x14:dxf>
          </x14:cfRule>
          <x14:cfRule type="expression" priority="106" id="{62710C73-6C7A-491E-8451-E1F446788FC3}">
            <xm:f>'O6'!$F$12=Data!$H$9</xm:f>
            <x14:dxf>
              <numFmt numFmtId="172" formatCode="[$£-809]#,##0"/>
            </x14:dxf>
          </x14:cfRule>
          <x14:cfRule type="expression" priority="105" id="{0FDFACF8-1F24-4108-88E4-610D2A232EFE}">
            <xm:f>'O6'!$F$12=Data!$H$10</xm:f>
            <x14:dxf>
              <numFmt numFmtId="166" formatCode="[$R$-416]\ #,##0"/>
            </x14:dxf>
          </x14:cfRule>
          <x14:cfRule type="expression" priority="104" id="{65C8BA2A-67CD-4E67-B61B-00EED2CC928D}">
            <xm:f>'O6'!$F$12=Data!$H$11</xm:f>
            <x14:dxf>
              <numFmt numFmtId="171" formatCode="[$-F400]h:mm:ss\ AM/PM"/>
            </x14:dxf>
          </x14:cfRule>
          <xm:sqref>E12:R13</xm:sqref>
        </x14:conditionalFormatting>
        <x14:conditionalFormatting xmlns:xm="http://schemas.microsoft.com/office/excel/2006/main">
          <x14:cfRule type="expression" priority="100" id="{C4E4454D-77EC-4A97-AB31-93CEBF377952}">
            <xm:f>'O6'!$F$13=Data!$H$5</xm:f>
            <x14:dxf>
              <numFmt numFmtId="173" formatCode="0.0"/>
            </x14:dxf>
          </x14:cfRule>
          <x14:cfRule type="expression" priority="103" id="{CE653CE9-6693-45C6-A2A6-FE9A828DD0C3}">
            <xm:f>'O6'!$F$13=Data!$H$2</xm:f>
            <x14:dxf>
              <numFmt numFmtId="13" formatCode="0%"/>
            </x14:dxf>
          </x14:cfRule>
          <x14:cfRule type="expression" priority="102" id="{616368A4-6F0C-4991-9B51-C89B6B7B388A}">
            <xm:f>'O6'!$F$13=Data!$H$3</xm:f>
            <x14:dxf>
              <numFmt numFmtId="165" formatCode="0.0%"/>
            </x14:dxf>
          </x14:cfRule>
          <x14:cfRule type="expression" priority="101" id="{9753E582-2E69-490E-A911-B8784DB99ABC}">
            <xm:f>'O6'!$F$13=Data!$H$4</xm:f>
            <x14:dxf>
              <numFmt numFmtId="3" formatCode="#,##0"/>
            </x14:dxf>
          </x14:cfRule>
          <x14:cfRule type="expression" priority="99" id="{A1774FDC-EB0A-4DA3-AC56-0AAE8E5C3C3F}">
            <xm:f>'O6'!$F$13=Data!$H$6</xm:f>
            <x14:dxf>
              <numFmt numFmtId="169" formatCode="#,##0\ &quot;$&quot;"/>
            </x14:dxf>
          </x14:cfRule>
          <x14:cfRule type="expression" priority="98" id="{8DFE3616-8681-469C-AB30-FFB85C8EDA0C}">
            <xm:f>'O6'!$F$13=Data!$H$7</xm:f>
            <x14:dxf>
              <numFmt numFmtId="168" formatCode="[$$-409]#,##0"/>
            </x14:dxf>
          </x14:cfRule>
          <x14:cfRule type="expression" priority="97" id="{4974754A-A1F8-42CC-BE16-54614B76126B}">
            <xm:f>'O6'!$F$13=Data!$H$8</xm:f>
            <x14:dxf>
              <numFmt numFmtId="167" formatCode="#,##0\ [$€-1]"/>
            </x14:dxf>
          </x14:cfRule>
          <x14:cfRule type="expression" priority="96" id="{FAA9472E-36B2-4760-8C2B-66E84C43F566}">
            <xm:f>'O6'!$F$13=Data!$H$9</xm:f>
            <x14:dxf>
              <numFmt numFmtId="172" formatCode="[$£-809]#,##0"/>
            </x14:dxf>
          </x14:cfRule>
          <x14:cfRule type="expression" priority="94" id="{58D8CEC7-48F7-4653-9F93-3B8FFA9437E1}">
            <xm:f>'O6'!$F$13=Data!$H$11</xm:f>
            <x14:dxf>
              <numFmt numFmtId="171" formatCode="[$-F400]h:mm:ss\ AM/PM"/>
            </x14:dxf>
          </x14:cfRule>
          <x14:cfRule type="expression" priority="95" id="{B95BCF1C-8AC2-4ED5-A48B-BE435666853C}">
            <xm:f>'O6'!$F$13=Data!$H$10</xm:f>
            <x14:dxf>
              <numFmt numFmtId="166" formatCode="[$R$-416]\ #,##0"/>
            </x14:dxf>
          </x14:cfRule>
          <xm:sqref>E15:R16</xm:sqref>
        </x14:conditionalFormatting>
        <x14:conditionalFormatting xmlns:xm="http://schemas.microsoft.com/office/excel/2006/main">
          <x14:cfRule type="expression" priority="90" id="{5FD64931-D928-4A06-9390-B4CDEDA98830}">
            <xm:f>'O6'!$F$14=Data!$H$5</xm:f>
            <x14:dxf>
              <numFmt numFmtId="173" formatCode="0.0"/>
            </x14:dxf>
          </x14:cfRule>
          <x14:cfRule type="expression" priority="88" id="{688BA355-4EBA-4349-813B-2CDBABA47B7F}">
            <xm:f>'O6'!$F$14=Data!$H$7</xm:f>
            <x14:dxf>
              <numFmt numFmtId="168" formatCode="[$$-409]#,##0"/>
            </x14:dxf>
          </x14:cfRule>
          <x14:cfRule type="expression" priority="93" id="{952C5BFE-450A-4321-A3B0-DB36311BA0CE}">
            <xm:f>'O5'!$F$14=Data!$H$2</xm:f>
            <x14:dxf>
              <numFmt numFmtId="13" formatCode="0%"/>
            </x14:dxf>
          </x14:cfRule>
          <x14:cfRule type="expression" priority="92" id="{ACD298F1-6669-4CD3-828F-BD8F928D5D69}">
            <xm:f>'O5'!$F$14=Data!$H$3</xm:f>
            <x14:dxf>
              <numFmt numFmtId="165" formatCode="0.0%"/>
            </x14:dxf>
          </x14:cfRule>
          <x14:cfRule type="expression" priority="91" id="{6335D713-1E8A-46D8-B1A2-32671DFEAA2B}">
            <xm:f>'O6'!$F$14=Data!$H$4</xm:f>
            <x14:dxf>
              <numFmt numFmtId="3" formatCode="#,##0"/>
            </x14:dxf>
          </x14:cfRule>
          <x14:cfRule type="expression" priority="89" id="{E3AC36CF-8766-4EB3-BCD4-119C1805249C}">
            <xm:f>'O6'!$F$14=Data!$H$6</xm:f>
            <x14:dxf>
              <numFmt numFmtId="169" formatCode="#,##0\ &quot;$&quot;"/>
            </x14:dxf>
          </x14:cfRule>
          <x14:cfRule type="expression" priority="87" id="{1FDBD5F4-2C49-4DF1-B635-5E65C3E4AA48}">
            <xm:f>'O6'!$F$14=Data!$H$8</xm:f>
            <x14:dxf>
              <numFmt numFmtId="167" formatCode="#,##0\ [$€-1]"/>
            </x14:dxf>
          </x14:cfRule>
          <x14:cfRule type="expression" priority="86" id="{75C1FAEE-605C-4E03-85C1-423C579AC5C4}">
            <xm:f>'O6'!$F$14=Data!$H$9</xm:f>
            <x14:dxf>
              <numFmt numFmtId="172" formatCode="[$£-809]#,##0"/>
            </x14:dxf>
          </x14:cfRule>
          <x14:cfRule type="expression" priority="85" id="{C3C75B0E-86F6-4FB8-B311-B532C32770DB}">
            <xm:f>'O6'!$F$14=Data!$H$10</xm:f>
            <x14:dxf>
              <numFmt numFmtId="166" formatCode="[$R$-416]\ #,##0"/>
            </x14:dxf>
          </x14:cfRule>
          <x14:cfRule type="expression" priority="84" id="{7FF28F5F-3B31-423C-9652-D9FB08A75858}">
            <xm:f>'O6'!$F$14=Data!$H$11</xm:f>
            <x14:dxf>
              <numFmt numFmtId="171" formatCode="[$-F400]h:mm:ss\ AM/PM"/>
            </x14:dxf>
          </x14:cfRule>
          <xm:sqref>E18:R19</xm:sqref>
        </x14:conditionalFormatting>
        <x14:conditionalFormatting xmlns:xm="http://schemas.microsoft.com/office/excel/2006/main">
          <x14:cfRule type="expression" priority="78" id="{4BF5A4D5-B963-4BDC-972D-9BA09C3FCF90}">
            <xm:f>'O6'!$F$15=Data!$H$7</xm:f>
            <x14:dxf>
              <numFmt numFmtId="168" formatCode="[$$-409]#,##0"/>
            </x14:dxf>
          </x14:cfRule>
          <x14:cfRule type="expression" priority="74" id="{DA6B9D35-6C57-46FE-934E-DEE40BD77DA5}">
            <xm:f>'O6'!$F$15=Data!$H$11</xm:f>
            <x14:dxf>
              <numFmt numFmtId="171" formatCode="[$-F400]h:mm:ss\ AM/PM"/>
            </x14:dxf>
          </x14:cfRule>
          <x14:cfRule type="expression" priority="79" id="{61CD5DC9-F1A6-43DC-8E7A-0ED3DEF31F29}">
            <xm:f>'O6'!$F$15=Data!$H$6</xm:f>
            <x14:dxf>
              <numFmt numFmtId="169" formatCode="#,##0\ &quot;$&quot;"/>
            </x14:dxf>
          </x14:cfRule>
          <x14:cfRule type="expression" priority="77" id="{8CDAF222-F5D6-4B7E-BA9E-DFFA91652D0A}">
            <xm:f>'O6'!$F$15=Data!$H$8</xm:f>
            <x14:dxf>
              <numFmt numFmtId="167" formatCode="#,##0\ [$€-1]"/>
            </x14:dxf>
          </x14:cfRule>
          <x14:cfRule type="expression" priority="83" id="{93AFECEA-CD63-46EC-925D-6EF778F38A85}">
            <xm:f>'O6'!$F$15=Data!$H$2</xm:f>
            <x14:dxf>
              <numFmt numFmtId="13" formatCode="0%"/>
            </x14:dxf>
          </x14:cfRule>
          <x14:cfRule type="expression" priority="82" id="{F9CADDC1-B16D-4D6C-887D-3E4F8BFEE372}">
            <xm:f>'O6'!$F$15=Data!$H$3</xm:f>
            <x14:dxf>
              <numFmt numFmtId="165" formatCode="0.0%"/>
            </x14:dxf>
          </x14:cfRule>
          <x14:cfRule type="expression" priority="81" id="{82CCCB1D-BC96-4D31-9B59-EAFA0AED610E}">
            <xm:f>'O6'!$F$15=Data!$H$4</xm:f>
            <x14:dxf>
              <numFmt numFmtId="3" formatCode="#,##0"/>
            </x14:dxf>
          </x14:cfRule>
          <x14:cfRule type="expression" priority="80" id="{F5ACD82C-FF2C-49EB-BFE0-85C2D7951E0E}">
            <xm:f>'O6'!$F$15=Data!$H$5</xm:f>
            <x14:dxf>
              <numFmt numFmtId="173" formatCode="0.0"/>
            </x14:dxf>
          </x14:cfRule>
          <x14:cfRule type="expression" priority="76" id="{59FC6170-B8C5-452F-B2B0-2ACA4BBB8116}">
            <xm:f>'O6'!$F$15=Data!$H$9</xm:f>
            <x14:dxf>
              <numFmt numFmtId="172" formatCode="[$£-809]#,##0"/>
            </x14:dxf>
          </x14:cfRule>
          <x14:cfRule type="expression" priority="75" id="{A6800536-B662-4042-9B27-877F5CD03B7F}">
            <xm:f>'O6'!$F$15=Data!$H$10</xm:f>
            <x14:dxf>
              <numFmt numFmtId="166" formatCode="[$R$-416]\ #,##0"/>
            </x14:dxf>
          </x14:cfRule>
          <xm:sqref>E21:R22</xm:sqref>
        </x14:conditionalFormatting>
        <x14:conditionalFormatting xmlns:xm="http://schemas.microsoft.com/office/excel/2006/main">
          <x14:cfRule type="expression" priority="67" id="{DD0B4EA5-2B9E-43A0-8F11-D490EA7D457C}">
            <xm:f>'O6'!$F$16=Data!$H$8</xm:f>
            <x14:dxf>
              <numFmt numFmtId="167" formatCode="#,##0\ [$€-1]"/>
            </x14:dxf>
          </x14:cfRule>
          <x14:cfRule type="expression" priority="72" id="{893FA659-C31C-4D29-9A9B-91ACF97B3CEF}">
            <xm:f>'O6'!$F$16=Data!$H$3</xm:f>
            <x14:dxf>
              <numFmt numFmtId="165" formatCode="0.0%"/>
            </x14:dxf>
          </x14:cfRule>
          <x14:cfRule type="expression" priority="73" id="{4288ED5D-9255-4DA0-83BB-B7E717601BAA}">
            <xm:f>'O6'!$F$16=Data!$H$2</xm:f>
            <x14:dxf>
              <numFmt numFmtId="13" formatCode="0%"/>
            </x14:dxf>
          </x14:cfRule>
          <x14:cfRule type="expression" priority="66" id="{2C288528-F682-4407-AC43-B536B9E94205}">
            <xm:f>'O6'!$F$16=Data!$H$9</xm:f>
            <x14:dxf>
              <numFmt numFmtId="172" formatCode="[$£-809]#,##0"/>
            </x14:dxf>
          </x14:cfRule>
          <x14:cfRule type="expression" priority="65" id="{8DD3833E-B5FD-4CCE-A299-7C9CF3623A25}">
            <xm:f>'O6'!$F$16=Data!$H$10</xm:f>
            <x14:dxf>
              <numFmt numFmtId="166" formatCode="[$R$-416]\ #,##0"/>
            </x14:dxf>
          </x14:cfRule>
          <x14:cfRule type="expression" priority="64" id="{67929EDD-97F3-4F8A-B5F2-8A01ACEC17FD}">
            <xm:f>'O6'!$F$16=Data!$H$11</xm:f>
            <x14:dxf>
              <numFmt numFmtId="171" formatCode="[$-F400]h:mm:ss\ AM/PM"/>
            </x14:dxf>
          </x14:cfRule>
          <x14:cfRule type="expression" priority="68" id="{1831C37E-E4F7-477E-9D02-F3CFB9A4BD70}">
            <xm:f>'O6'!$F$16=Data!$H$7</xm:f>
            <x14:dxf>
              <numFmt numFmtId="168" formatCode="[$$-409]#,##0"/>
            </x14:dxf>
          </x14:cfRule>
          <x14:cfRule type="expression" priority="70" id="{035FE81B-612E-4852-B698-5C3C40002D2A}">
            <xm:f>'O6'!$F$16=Data!$H$5</xm:f>
            <x14:dxf>
              <numFmt numFmtId="173" formatCode="0.0"/>
            </x14:dxf>
          </x14:cfRule>
          <x14:cfRule type="expression" priority="71" id="{2B51EDFF-E9F3-4D37-8D40-18DA52D27390}">
            <xm:f>'O6'!$F$16=Data!$H$4</xm:f>
            <x14:dxf>
              <numFmt numFmtId="3" formatCode="#,##0"/>
            </x14:dxf>
          </x14:cfRule>
          <x14:cfRule type="expression" priority="69" id="{59E1B228-1346-4FE3-A2D4-E1D104FB6DE3}">
            <xm:f>'O6'!$F$16=Data!$H$6</xm:f>
            <x14:dxf>
              <numFmt numFmtId="169" formatCode="#,##0\ &quot;$&quot;"/>
            </x14:dxf>
          </x14:cfRule>
          <xm:sqref>E24:R25</xm:sqref>
        </x14:conditionalFormatting>
        <x14:conditionalFormatting xmlns:xm="http://schemas.microsoft.com/office/excel/2006/main">
          <x14:cfRule type="expression" priority="56" id="{07BA71BC-82F6-4A8B-B712-89B80AA05EF3}">
            <xm:f>'O6'!$F$17=Data!$H$9</xm:f>
            <x14:dxf>
              <numFmt numFmtId="172" formatCode="[$£-809]#,##0"/>
            </x14:dxf>
          </x14:cfRule>
          <x14:cfRule type="expression" priority="55" id="{77898AB7-F3B4-4F96-AD35-73E6CEDBA446}">
            <xm:f>'O6'!$F$17=Data!$H$10</xm:f>
            <x14:dxf>
              <numFmt numFmtId="166" formatCode="[$R$-416]\ #,##0"/>
            </x14:dxf>
          </x14:cfRule>
          <x14:cfRule type="expression" priority="63" id="{4E5314E0-E3F6-4A79-9922-25035E6F47F0}">
            <xm:f>'O6'!$F$17=Data!$H$2</xm:f>
            <x14:dxf>
              <numFmt numFmtId="13" formatCode="0%"/>
            </x14:dxf>
          </x14:cfRule>
          <x14:cfRule type="expression" priority="62" id="{7ABD773E-1900-4C37-91D4-23D66F08F64D}">
            <xm:f>'O6'!$F$17=Data!$H$3</xm:f>
            <x14:dxf>
              <numFmt numFmtId="165" formatCode="0.0%"/>
            </x14:dxf>
          </x14:cfRule>
          <x14:cfRule type="expression" priority="61" id="{2ABE188A-B5C7-497B-AFDB-985AD19EC825}">
            <xm:f>'O6'!$F$17=Data!$H$4</xm:f>
            <x14:dxf>
              <numFmt numFmtId="3" formatCode="#,##0"/>
            </x14:dxf>
          </x14:cfRule>
          <x14:cfRule type="expression" priority="60" id="{BA473ED5-7574-4451-A1C6-EA749C00159F}">
            <xm:f>'O6'!$F$17=Data!$H$5</xm:f>
            <x14:dxf>
              <numFmt numFmtId="173" formatCode="0.0"/>
            </x14:dxf>
          </x14:cfRule>
          <x14:cfRule type="expression" priority="54" id="{AA64CE20-C83A-487B-BCFB-0C562439EB3E}">
            <xm:f>'O6'!$F$17=Data!$H$11</xm:f>
            <x14:dxf>
              <numFmt numFmtId="171" formatCode="[$-F400]h:mm:ss\ AM/PM"/>
            </x14:dxf>
          </x14:cfRule>
          <x14:cfRule type="expression" priority="57" id="{CCFA2FF0-8F13-4A16-9E29-4AFB3071C4CD}">
            <xm:f>'O6'!$F$17=Data!$H$8</xm:f>
            <x14:dxf>
              <numFmt numFmtId="167" formatCode="#,##0\ [$€-1]"/>
            </x14:dxf>
          </x14:cfRule>
          <x14:cfRule type="expression" priority="59" id="{EF2492BC-CFEA-494B-B4B5-755323F7C015}">
            <xm:f>'O6'!$F$17=Data!$H$6</xm:f>
            <x14:dxf>
              <numFmt numFmtId="169" formatCode="#,##0\ &quot;$&quot;"/>
            </x14:dxf>
          </x14:cfRule>
          <x14:cfRule type="expression" priority="58" id="{7FC1B9AE-6AA5-434E-A9B4-5183BFBE07CF}">
            <xm:f>'O6'!$F$17=Data!$H$7</xm:f>
            <x14:dxf>
              <numFmt numFmtId="168" formatCode="[$$-409]#,##0"/>
            </x14:dxf>
          </x14:cfRule>
          <xm:sqref>E27:R28</xm:sqref>
        </x14:conditionalFormatting>
        <x14:conditionalFormatting xmlns:xm="http://schemas.microsoft.com/office/excel/2006/main">
          <x14:cfRule type="expression" priority="50" id="{E6F76382-C909-4EFF-9500-19B6AEE7F57E}">
            <xm:f>'O6'!$F$18=Data!$H$5</xm:f>
            <x14:dxf>
              <numFmt numFmtId="173" formatCode="0.0"/>
            </x14:dxf>
          </x14:cfRule>
          <x14:cfRule type="expression" priority="44" id="{CE34AFF1-CBF7-4042-844C-BAF13DD3BCBA}">
            <xm:f>'O6'!$F$18=Data!$H$11</xm:f>
            <x14:dxf>
              <numFmt numFmtId="171" formatCode="[$-F400]h:mm:ss\ AM/PM"/>
            </x14:dxf>
          </x14:cfRule>
          <x14:cfRule type="expression" priority="45" id="{44F4DFAD-B20C-4AC1-8735-5F21A198DAC4}">
            <xm:f>'O6'!$F$18=Data!$H$10</xm:f>
            <x14:dxf>
              <numFmt numFmtId="166" formatCode="[$R$-416]\ #,##0"/>
            </x14:dxf>
          </x14:cfRule>
          <x14:cfRule type="expression" priority="46" id="{D66FEE8A-798B-465B-9BBC-E261417924FC}">
            <xm:f>'O6'!$F$18=Data!$H$9</xm:f>
            <x14:dxf>
              <numFmt numFmtId="172" formatCode="[$£-809]#,##0"/>
            </x14:dxf>
          </x14:cfRule>
          <x14:cfRule type="expression" priority="47" id="{8750E0F3-EA31-46B9-AB5F-B12007D2E9E9}">
            <xm:f>'O6'!$F$18=Data!$H$8</xm:f>
            <x14:dxf>
              <numFmt numFmtId="167" formatCode="#,##0\ [$€-1]"/>
            </x14:dxf>
          </x14:cfRule>
          <x14:cfRule type="expression" priority="48" id="{CDB5A169-F77F-45A5-9C97-913B29B5C846}">
            <xm:f>'O6'!$F$18=Data!$H$7</xm:f>
            <x14:dxf>
              <numFmt numFmtId="168" formatCode="[$$-409]#,##0"/>
            </x14:dxf>
          </x14:cfRule>
          <x14:cfRule type="expression" priority="49" id="{5C99CB64-C5F8-41AB-92BF-07347EF6FEE6}">
            <xm:f>'O6'!$F$18=Data!$H$6</xm:f>
            <x14:dxf>
              <numFmt numFmtId="169" formatCode="#,##0\ &quot;$&quot;"/>
            </x14:dxf>
          </x14:cfRule>
          <x14:cfRule type="expression" priority="52" id="{CA077B8D-20DE-459B-8F52-2703C6D98B9B}">
            <xm:f>'O6'!$F$18=Data!$H$3</xm:f>
            <x14:dxf>
              <numFmt numFmtId="165" formatCode="0.0%"/>
            </x14:dxf>
          </x14:cfRule>
          <x14:cfRule type="expression" priority="53" id="{B316A9AA-5969-4685-B02D-D9F9DFFFEAD4}">
            <xm:f>'O6'!$F$18=Data!$H$2</xm:f>
            <x14:dxf>
              <numFmt numFmtId="13" formatCode="0%"/>
            </x14:dxf>
          </x14:cfRule>
          <x14:cfRule type="expression" priority="51" id="{85631716-070F-4420-99D2-137638ACD0EB}">
            <xm:f>'O6'!$F$18=Data!$H$4</xm:f>
            <x14:dxf>
              <numFmt numFmtId="3" formatCode="#,##0"/>
            </x14:dxf>
          </x14:cfRule>
          <xm:sqref>E30:R31</xm:sqref>
        </x14:conditionalFormatting>
        <x14:conditionalFormatting xmlns:xm="http://schemas.microsoft.com/office/excel/2006/main">
          <x14:cfRule type="expression" priority="36" id="{9DED6BC3-B002-4848-9A64-2051F61C65E6}">
            <xm:f>'O6'!$F$19=Data!$H$9</xm:f>
            <x14:dxf>
              <numFmt numFmtId="172" formatCode="[$£-809]#,##0"/>
            </x14:dxf>
          </x14:cfRule>
          <x14:cfRule type="expression" priority="35" id="{B26E8897-2D00-4352-8F29-2F7368DCB544}">
            <xm:f>'O6'!$F$19=Data!$H$10</xm:f>
            <x14:dxf>
              <numFmt numFmtId="166" formatCode="[$R$-416]\ #,##0"/>
            </x14:dxf>
          </x14:cfRule>
          <x14:cfRule type="expression" priority="37" id="{3B630C86-2290-40B1-9FDC-B49723DFD7B4}">
            <xm:f>'O6'!$F$19=Data!$H$8</xm:f>
            <x14:dxf>
              <numFmt numFmtId="167" formatCode="#,##0\ [$€-1]"/>
            </x14:dxf>
          </x14:cfRule>
          <x14:cfRule type="expression" priority="38" id="{79385B94-67C4-45F5-BD93-7B21296843C4}">
            <xm:f>'O6'!$F$19=Data!$H$7</xm:f>
            <x14:dxf>
              <numFmt numFmtId="168" formatCode="[$$-409]#,##0"/>
            </x14:dxf>
          </x14:cfRule>
          <x14:cfRule type="expression" priority="39" id="{62B15135-818C-4FE7-9098-CF64773D36BD}">
            <xm:f>'O6'!$F$19=Data!$H$6</xm:f>
            <x14:dxf>
              <numFmt numFmtId="169" formatCode="#,##0\ &quot;$&quot;"/>
            </x14:dxf>
          </x14:cfRule>
          <x14:cfRule type="expression" priority="40" id="{510B3AD8-B28A-4F4D-A406-3F9532721991}">
            <xm:f>'O6'!$F$19=Data!$H$5</xm:f>
            <x14:dxf>
              <numFmt numFmtId="173" formatCode="0.0"/>
            </x14:dxf>
          </x14:cfRule>
          <x14:cfRule type="expression" priority="41" id="{0A2640F3-AFED-4768-9984-49B42F935FF1}">
            <xm:f>'O6'!$F$19=Data!$H$4</xm:f>
            <x14:dxf>
              <numFmt numFmtId="3" formatCode="#,##0"/>
            </x14:dxf>
          </x14:cfRule>
          <x14:cfRule type="expression" priority="42" id="{CFFA02C2-E88B-481A-BB68-1F3D24C46981}">
            <xm:f>'O6'!$F$19=Data!$H$3</xm:f>
            <x14:dxf>
              <numFmt numFmtId="165" formatCode="0.0%"/>
            </x14:dxf>
          </x14:cfRule>
          <x14:cfRule type="expression" priority="43" id="{028900A3-53D8-4BCC-9F46-297D811E4F14}">
            <xm:f>'O6'!$F$19=Data!$H$2</xm:f>
            <x14:dxf>
              <numFmt numFmtId="13" formatCode="0%"/>
            </x14:dxf>
          </x14:cfRule>
          <x14:cfRule type="expression" priority="34" id="{7F4E3253-41B5-4D88-8BC5-6434A28542D1}">
            <xm:f>'O6'!$F$19=Data!$H$11</xm:f>
            <x14:dxf>
              <numFmt numFmtId="171" formatCode="[$-F400]h:mm:ss\ AM/PM"/>
            </x14:dxf>
          </x14:cfRule>
          <xm:sqref>E33:R34</xm:sqref>
        </x14:conditionalFormatting>
        <x14:conditionalFormatting xmlns:xm="http://schemas.microsoft.com/office/excel/2006/main">
          <x14:cfRule type="expression" priority="25" id="{9873BE14-8DFF-43CE-AFEE-78263E09B9A4}">
            <xm:f>'O6'!$F$20=Data!$H$10</xm:f>
            <x14:dxf>
              <numFmt numFmtId="166" formatCode="[$R$-416]\ #,##0"/>
            </x14:dxf>
          </x14:cfRule>
          <x14:cfRule type="expression" priority="26" id="{F1CDE288-2BB5-46F4-B0D2-6F194DBAF7A5}">
            <xm:f>'O6'!$F$20=Data!$H$9</xm:f>
            <x14:dxf>
              <numFmt numFmtId="172" formatCode="[$£-809]#,##0"/>
            </x14:dxf>
          </x14:cfRule>
          <x14:cfRule type="expression" priority="27" id="{FD8E2B38-6696-4025-9459-A8D9FF9EA8D7}">
            <xm:f>'O6'!$F$20=Data!$H$8</xm:f>
            <x14:dxf>
              <numFmt numFmtId="167" formatCode="#,##0\ [$€-1]"/>
            </x14:dxf>
          </x14:cfRule>
          <x14:cfRule type="expression" priority="28" id="{F710F5CB-ACEE-4DA1-AD59-1AC1F2C68B64}">
            <xm:f>'O6'!$F$20=Data!$H$7</xm:f>
            <x14:dxf>
              <numFmt numFmtId="168" formatCode="[$$-409]#,##0"/>
            </x14:dxf>
          </x14:cfRule>
          <x14:cfRule type="expression" priority="29" id="{B3C394B0-A938-460A-8E46-DDD992A490FB}">
            <xm:f>'O6'!$F$20=Data!$H$6</xm:f>
            <x14:dxf>
              <numFmt numFmtId="169" formatCode="#,##0\ &quot;$&quot;"/>
            </x14:dxf>
          </x14:cfRule>
          <x14:cfRule type="expression" priority="30" id="{0E74FDE3-C7EA-4751-8FBC-493FF1788D16}">
            <xm:f>'O6'!$F$20=Data!$H$5</xm:f>
            <x14:dxf>
              <numFmt numFmtId="173" formatCode="0.0"/>
            </x14:dxf>
          </x14:cfRule>
          <x14:cfRule type="expression" priority="31" id="{65CF41E5-4B23-47F7-BA68-AECC10D7568C}">
            <xm:f>'O6'!$F$20=Data!$H$4</xm:f>
            <x14:dxf>
              <numFmt numFmtId="3" formatCode="#,##0"/>
            </x14:dxf>
          </x14:cfRule>
          <x14:cfRule type="expression" priority="32" id="{69F1B2A9-26EB-4FB9-83C3-6EB3FF87F854}">
            <xm:f>'O6'!$F$20=Data!$H$3</xm:f>
            <x14:dxf>
              <numFmt numFmtId="165" formatCode="0.0%"/>
            </x14:dxf>
          </x14:cfRule>
          <x14:cfRule type="expression" priority="33" id="{ED4C1EB6-F8D2-417E-B7BD-93D4959CCE2C}">
            <xm:f>'O6'!$F$20=Data!$H$2</xm:f>
            <x14:dxf>
              <numFmt numFmtId="13" formatCode="0%"/>
            </x14:dxf>
          </x14:cfRule>
          <x14:cfRule type="expression" priority="24" id="{5CA8EC90-75E4-4448-97F7-F73753A1F01D}">
            <xm:f>'O6'!$F$20=Data!$H$11</xm:f>
            <x14:dxf>
              <numFmt numFmtId="171" formatCode="[$-F400]h:mm:ss\ AM/PM"/>
            </x14:dxf>
          </x14:cfRule>
          <xm:sqref>E36:R37</xm:sqref>
        </x14:conditionalFormatting>
        <x14:conditionalFormatting xmlns:xm="http://schemas.microsoft.com/office/excel/2006/main">
          <x14:cfRule type="expression" priority="19" id="{FA29A55D-A6E0-4CDF-AC3F-7687561D6509}">
            <xm:f>'O6'!$F$21=Data!$H$6</xm:f>
            <x14:dxf>
              <numFmt numFmtId="169" formatCode="#,##0\ &quot;$&quot;"/>
            </x14:dxf>
          </x14:cfRule>
          <x14:cfRule type="expression" priority="20" id="{38567686-4FEF-497B-82A0-2CF6D8D49ECC}">
            <xm:f>'O6'!$F$21=Data!$H$5</xm:f>
            <x14:dxf>
              <numFmt numFmtId="173" formatCode="0.0"/>
            </x14:dxf>
          </x14:cfRule>
          <x14:cfRule type="expression" priority="21" id="{199BE056-9172-4F54-A18F-37CEBF04E8FB}">
            <xm:f>'O6'!$F$21=Data!$H$4</xm:f>
            <x14:dxf>
              <numFmt numFmtId="3" formatCode="#,##0"/>
            </x14:dxf>
          </x14:cfRule>
          <x14:cfRule type="expression" priority="23" id="{81263987-0014-405B-B5A1-21B48AF2E2BD}">
            <xm:f>'O6'!$F$21=Data!$H$2</xm:f>
            <x14:dxf>
              <numFmt numFmtId="13" formatCode="0%"/>
            </x14:dxf>
          </x14:cfRule>
          <x14:cfRule type="expression" priority="18" id="{D2709DAF-DC40-4AF1-89FC-3202E540DEC8}">
            <xm:f>'O6'!$F$21=Data!$H$7</xm:f>
            <x14:dxf>
              <numFmt numFmtId="168" formatCode="[$$-409]#,##0"/>
            </x14:dxf>
          </x14:cfRule>
          <x14:cfRule type="expression" priority="17" id="{CE624C23-6E1E-4982-B15E-DC944A47850B}">
            <xm:f>'O6'!$F$21=Data!$H$8</xm:f>
            <x14:dxf>
              <numFmt numFmtId="167" formatCode="#,##0\ [$€-1]"/>
            </x14:dxf>
          </x14:cfRule>
          <x14:cfRule type="expression" priority="16" id="{1429846D-9F55-471F-AD87-6E400390C0A4}">
            <xm:f>'O6'!$F$21=Data!$H$9</xm:f>
            <x14:dxf>
              <numFmt numFmtId="172" formatCode="[$£-809]#,##0"/>
            </x14:dxf>
          </x14:cfRule>
          <x14:cfRule type="expression" priority="15" id="{C73E790C-5228-4DA6-B65C-B510E1418C7D}">
            <xm:f>'O6'!$F$21=Data!$H$10</xm:f>
            <x14:dxf>
              <numFmt numFmtId="166" formatCode="[$R$-416]\ #,##0"/>
            </x14:dxf>
          </x14:cfRule>
          <x14:cfRule type="expression" priority="14" id="{FE96045F-D64D-4B59-BFD0-A4103788ADF7}">
            <xm:f>'O6'!$F$21=Data!$H$11</xm:f>
            <x14:dxf>
              <numFmt numFmtId="171" formatCode="[$-F400]h:mm:ss\ AM/PM"/>
            </x14:dxf>
          </x14:cfRule>
          <x14:cfRule type="expression" priority="22" id="{F8F2A2A9-384E-4FFA-A2DD-0D2215D10FFE}">
            <xm:f>'O6'!$F$21=Data!$H$3</xm:f>
            <x14:dxf>
              <numFmt numFmtId="165" formatCode="0.0%"/>
            </x14:dxf>
          </x14:cfRule>
          <xm:sqref>E39:R40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A8B33-6859-4B68-9746-952FDAC39902}">
  <dimension ref="A1:S111"/>
  <sheetViews>
    <sheetView showGridLines="0" showRowColHeaders="0" zoomScaleNormal="100" workbookViewId="0">
      <selection activeCell="L12" sqref="L12"/>
    </sheetView>
  </sheetViews>
  <sheetFormatPr baseColWidth="10" defaultColWidth="8.83203125" defaultRowHeight="15"/>
  <cols>
    <col min="1" max="1" width="2.6640625" style="290" customWidth="1"/>
    <col min="2" max="5" width="25.6640625" style="273" customWidth="1"/>
    <col min="6" max="6" width="30.6640625" style="273" customWidth="1"/>
    <col min="7" max="8" width="20.6640625" style="369" customWidth="1"/>
    <col min="9" max="9" width="16.6640625" style="369" hidden="1" customWidth="1"/>
    <col min="10" max="10" width="16.6640625" style="369" customWidth="1"/>
    <col min="11" max="11" width="14.6640625" style="369" customWidth="1"/>
    <col min="12" max="12" width="12.6640625" style="273" customWidth="1"/>
    <col min="13" max="16384" width="8.83203125" style="273"/>
  </cols>
  <sheetData>
    <row r="1" spans="1:19" s="249" customFormat="1" ht="39" customHeight="1">
      <c r="A1" s="248"/>
      <c r="B1" s="248"/>
      <c r="C1" s="248"/>
      <c r="D1" s="248"/>
      <c r="E1" s="248"/>
      <c r="F1" s="248"/>
      <c r="G1" s="248"/>
      <c r="H1" s="248"/>
      <c r="I1" s="248"/>
      <c r="J1" s="248"/>
      <c r="K1" s="248"/>
      <c r="L1" s="248"/>
      <c r="M1" s="248"/>
      <c r="N1" s="248"/>
      <c r="O1" s="248"/>
      <c r="P1" s="248"/>
      <c r="Q1" s="248"/>
      <c r="R1" s="248"/>
      <c r="S1" s="248"/>
    </row>
    <row r="2" spans="1:19" s="308" customFormat="1" ht="25" customHeight="1"/>
    <row r="3" spans="1:19" s="287" customFormat="1" ht="18" customHeight="1"/>
    <row r="4" spans="1:19" s="287" customFormat="1" ht="18" customHeight="1"/>
    <row r="5" spans="1:19" s="287" customFormat="1" ht="20" customHeight="1"/>
    <row r="6" spans="1:19" s="281" customFormat="1" ht="20" customHeight="1">
      <c r="A6" s="355"/>
      <c r="G6" s="278"/>
      <c r="H6" s="278"/>
      <c r="I6" s="278"/>
      <c r="J6" s="278"/>
      <c r="K6" s="278"/>
    </row>
    <row r="7" spans="1:19" s="281" customFormat="1" ht="20" customHeight="1">
      <c r="A7" s="355"/>
      <c r="B7" s="303" t="str">
        <f>Lan!F62&amp;" - "&amp;Goals!C12</f>
        <v>2.5. Plan de acción - Expandir la presencia nacional de Caracolitos mediante la apertura de nuevas sucursales.</v>
      </c>
      <c r="C7" s="359"/>
      <c r="D7" s="359"/>
      <c r="E7" s="359"/>
      <c r="F7" s="359"/>
      <c r="G7" s="359"/>
      <c r="H7" s="370"/>
      <c r="I7" s="370"/>
      <c r="J7" s="370"/>
      <c r="K7" s="509" t="str">
        <f>Lan!F69</f>
        <v>% Progreso</v>
      </c>
      <c r="L7" s="509"/>
    </row>
    <row r="8" spans="1:19" s="281" customFormat="1" ht="20" customHeight="1">
      <c r="A8" s="355"/>
      <c r="B8" s="320" t="str">
        <f>Lan!F44</f>
        <v>Los objetivos proporcionan hitos específicos con un cronograma específico para lograr una meta.</v>
      </c>
      <c r="C8" s="362"/>
      <c r="D8" s="362"/>
      <c r="E8" s="362"/>
      <c r="F8" s="371"/>
      <c r="G8" s="370"/>
      <c r="H8" s="370"/>
      <c r="I8" s="372"/>
      <c r="J8" s="370"/>
      <c r="K8" s="507">
        <f>IFERROR(AVERAGE(J12:J111),0)</f>
        <v>0.2</v>
      </c>
      <c r="L8" s="508"/>
    </row>
    <row r="9" spans="1:19" s="281" customFormat="1" ht="20" customHeight="1" thickBot="1">
      <c r="A9" s="355"/>
      <c r="B9" s="371"/>
      <c r="C9" s="371"/>
      <c r="D9" s="371"/>
      <c r="E9" s="371"/>
      <c r="F9" s="371"/>
      <c r="G9" s="370"/>
      <c r="H9" s="370"/>
      <c r="I9" s="370"/>
      <c r="J9" s="370"/>
      <c r="K9" s="508"/>
      <c r="L9" s="508"/>
    </row>
    <row r="10" spans="1:19" s="367" customFormat="1" ht="20" customHeight="1" thickTop="1" thickBot="1">
      <c r="A10" s="366"/>
      <c r="B10" s="420" t="str">
        <f>IF(Goals!C12="","",Goals!B12)</f>
        <v>Meta 1</v>
      </c>
      <c r="C10" s="419" t="str">
        <f>IF(Goals!C13="","",Goals!B13)</f>
        <v>Meta 2</v>
      </c>
      <c r="D10" s="419" t="str">
        <f>IF(Goals!C14="","",Goals!B14)</f>
        <v>Meta 3</v>
      </c>
      <c r="E10" s="419" t="str">
        <f>IF(Goals!C15="","",Goals!B15)</f>
        <v>Meta 4</v>
      </c>
      <c r="F10" s="419" t="str">
        <f>IF(Goals!C16="","",Goals!B16)</f>
        <v>Meta 5</v>
      </c>
      <c r="G10" s="419" t="str">
        <f>IF(Goals!C17="","",Goals!B17)</f>
        <v>Meta 6</v>
      </c>
      <c r="H10" s="373"/>
      <c r="I10" s="373"/>
      <c r="J10" s="374"/>
      <c r="K10" s="374"/>
      <c r="L10" s="375"/>
    </row>
    <row r="11" spans="1:19" s="281" customFormat="1" ht="30" customHeight="1" thickTop="1" thickBot="1">
      <c r="A11" s="368"/>
      <c r="B11" s="513" t="str">
        <f>Lan!$F$63</f>
        <v>Paso de acción</v>
      </c>
      <c r="C11" s="513"/>
      <c r="D11" s="513" t="str">
        <f>Lan!$F$64</f>
        <v>Objetivo asociado</v>
      </c>
      <c r="E11" s="513"/>
      <c r="F11" s="283" t="str">
        <f>Lan!$F$65</f>
        <v>Gerentes</v>
      </c>
      <c r="G11" s="283" t="str">
        <f>Lan!$F$67</f>
        <v>Fecha de inicio</v>
      </c>
      <c r="H11" s="376" t="str">
        <f>Lan!$F$68</f>
        <v>Fecha de vencimiento</v>
      </c>
      <c r="I11" s="377" t="str">
        <f>Lan!F75</f>
        <v>Hora de completar una tarea</v>
      </c>
      <c r="J11" s="376" t="str">
        <f>Lan!$F$69</f>
        <v>% Progreso</v>
      </c>
      <c r="K11" s="376" t="str">
        <f>Lan!$F$70</f>
        <v>Status</v>
      </c>
      <c r="L11" s="376" t="str">
        <f>Data!K4</f>
        <v>Atrasado</v>
      </c>
    </row>
    <row r="12" spans="1:19" s="281" customFormat="1" ht="27" customHeight="1">
      <c r="A12" s="355"/>
      <c r="B12" s="510" t="s">
        <v>350</v>
      </c>
      <c r="C12" s="510"/>
      <c r="D12" s="510" t="s">
        <v>340</v>
      </c>
      <c r="E12" s="510"/>
      <c r="F12" s="218" t="s">
        <v>351</v>
      </c>
      <c r="G12" s="96">
        <v>45839</v>
      </c>
      <c r="H12" s="96">
        <v>45869</v>
      </c>
      <c r="I12" s="378">
        <f>IFERROR(H12-G12,0)</f>
        <v>30</v>
      </c>
      <c r="J12" s="97">
        <v>0.2</v>
      </c>
      <c r="K12" s="381" t="str">
        <f>IF(B12="","",IF(J12=1,Data!$K$2,IF(J12=0,Data!$K$5,Data!$K$3)))</f>
        <v>En progreso</v>
      </c>
      <c r="L12" s="382" t="str">
        <f ca="1">IF(H12="","",IF(B12="","",IF(K12=Data!$K$2,"",IF(H12&lt;TODAY(),"!",""))))</f>
        <v/>
      </c>
    </row>
    <row r="13" spans="1:19" s="281" customFormat="1" ht="27" customHeight="1">
      <c r="A13" s="355"/>
      <c r="B13" s="510"/>
      <c r="C13" s="510"/>
      <c r="D13" s="511"/>
      <c r="E13" s="512"/>
      <c r="F13" s="218"/>
      <c r="G13" s="96"/>
      <c r="H13" s="96"/>
      <c r="I13" s="378"/>
      <c r="J13" s="99"/>
      <c r="K13" s="381" t="str">
        <f>IF(B13="","",IF(J13=1,Data!$K$2,IF(J13=0,Data!$K$5,Data!$K$3)))</f>
        <v/>
      </c>
      <c r="L13" s="383" t="str">
        <f ca="1">IF(H13="","",IF(B13="","",IF(K13=Data!$K$2,"",IF(H13&lt;TODAY(),"!",""))))</f>
        <v/>
      </c>
    </row>
    <row r="14" spans="1:19" s="281" customFormat="1" ht="27" customHeight="1">
      <c r="A14" s="355"/>
      <c r="B14" s="510"/>
      <c r="C14" s="510"/>
      <c r="D14" s="511"/>
      <c r="E14" s="512"/>
      <c r="F14" s="218"/>
      <c r="G14" s="96"/>
      <c r="H14" s="96"/>
      <c r="I14" s="378">
        <f t="shared" ref="I14:I17" si="0">IFERROR(H14-G14,0)</f>
        <v>0</v>
      </c>
      <c r="J14" s="99"/>
      <c r="K14" s="381" t="str">
        <f>IF(B14="","",IF(J14=1,Data!$K$2,IF(J14=0,Data!$K$5,Data!$K$3)))</f>
        <v/>
      </c>
      <c r="L14" s="383" t="str">
        <f ca="1">IF(H14="","",IF(B14="","",IF(K14=Data!$K$2,"",IF(H14&lt;TODAY(),"!",""))))</f>
        <v/>
      </c>
    </row>
    <row r="15" spans="1:19" s="281" customFormat="1" ht="27" customHeight="1">
      <c r="A15" s="355"/>
      <c r="B15" s="510"/>
      <c r="C15" s="510"/>
      <c r="D15" s="511"/>
      <c r="E15" s="512"/>
      <c r="F15" s="218"/>
      <c r="G15" s="96"/>
      <c r="H15" s="96"/>
      <c r="I15" s="378">
        <f t="shared" si="0"/>
        <v>0</v>
      </c>
      <c r="J15" s="99"/>
      <c r="K15" s="381" t="str">
        <f>IF(B15="","",IF(J15=1,Data!$K$2,IF(J15=0,Data!$K$5,Data!$K$3)))</f>
        <v/>
      </c>
      <c r="L15" s="383" t="str">
        <f ca="1">IF(H15="","",IF(B15="","",IF(K15=Data!$K$2,"",IF(H15&lt;TODAY(),"!",""))))</f>
        <v/>
      </c>
    </row>
    <row r="16" spans="1:19" s="281" customFormat="1" ht="27" customHeight="1">
      <c r="A16" s="355"/>
      <c r="B16" s="510"/>
      <c r="C16" s="510"/>
      <c r="D16" s="511"/>
      <c r="E16" s="512"/>
      <c r="F16" s="218"/>
      <c r="G16" s="96"/>
      <c r="H16" s="96"/>
      <c r="I16" s="378">
        <f t="shared" si="0"/>
        <v>0</v>
      </c>
      <c r="J16" s="99"/>
      <c r="K16" s="381" t="str">
        <f>IF(B16="","",IF(J16=1,Data!$K$2,IF(J16=0,Data!$K$5,Data!$K$3)))</f>
        <v/>
      </c>
      <c r="L16" s="383" t="str">
        <f ca="1">IF(H16="","",IF(B16="","",IF(K16=Data!$K$2,"",IF(H16&lt;TODAY(),"!",""))))</f>
        <v/>
      </c>
    </row>
    <row r="17" spans="1:12" s="281" customFormat="1" ht="27" customHeight="1">
      <c r="A17" s="355"/>
      <c r="B17" s="510"/>
      <c r="C17" s="510"/>
      <c r="D17" s="511"/>
      <c r="E17" s="512"/>
      <c r="F17" s="218"/>
      <c r="G17" s="96"/>
      <c r="H17" s="96"/>
      <c r="I17" s="378">
        <f t="shared" si="0"/>
        <v>0</v>
      </c>
      <c r="J17" s="99"/>
      <c r="K17" s="381" t="str">
        <f>IF(B17="","",IF(J17=1,Data!$K$2,IF(J17=0,Data!$K$5,Data!$K$3)))</f>
        <v/>
      </c>
      <c r="L17" s="383" t="str">
        <f ca="1">IF(H17="","",IF(B17="","",IF(K17=Data!$K$2,"",IF(H17&lt;TODAY(),"!",""))))</f>
        <v/>
      </c>
    </row>
    <row r="18" spans="1:12" s="281" customFormat="1" ht="27" customHeight="1">
      <c r="A18" s="355"/>
      <c r="B18" s="510"/>
      <c r="C18" s="510"/>
      <c r="D18" s="511"/>
      <c r="E18" s="512"/>
      <c r="F18" s="218"/>
      <c r="G18" s="96"/>
      <c r="H18" s="96"/>
      <c r="I18" s="378">
        <f>IFERROR(H18-G18,0)</f>
        <v>0</v>
      </c>
      <c r="J18" s="99"/>
      <c r="K18" s="381" t="str">
        <f>IF(B18="","",IF(J18=1,Data!$K$2,IF(J18=0,Data!$K$5,Data!$K$3)))</f>
        <v/>
      </c>
      <c r="L18" s="383" t="str">
        <f ca="1">IF(H18="","",IF(B18="","",IF(K18=Data!$K$2,"",IF(H18&lt;TODAY(),"!",""))))</f>
        <v/>
      </c>
    </row>
    <row r="19" spans="1:12" s="281" customFormat="1" ht="27" customHeight="1">
      <c r="A19" s="355"/>
      <c r="B19" s="510"/>
      <c r="C19" s="510"/>
      <c r="D19" s="511"/>
      <c r="E19" s="512"/>
      <c r="F19" s="219"/>
      <c r="G19" s="96"/>
      <c r="H19" s="96"/>
      <c r="I19" s="378">
        <f>IFERROR(H19-G19,0)</f>
        <v>0</v>
      </c>
      <c r="J19" s="99"/>
      <c r="K19" s="381" t="str">
        <f>IF(B19="","",IF(J19=1,Data!$K$2,IF(J19=0,Data!$K$5,Data!$K$3)))</f>
        <v/>
      </c>
      <c r="L19" s="383" t="str">
        <f ca="1">IF(H19="","",IF(B19="","",IF(K19=Data!$K$2,"",IF(H19&lt;TODAY(),"!",""))))</f>
        <v/>
      </c>
    </row>
    <row r="20" spans="1:12" s="281" customFormat="1" ht="27" customHeight="1">
      <c r="A20" s="355"/>
      <c r="B20" s="510"/>
      <c r="C20" s="510"/>
      <c r="D20" s="511"/>
      <c r="E20" s="512"/>
      <c r="F20" s="219"/>
      <c r="G20" s="98"/>
      <c r="H20" s="98"/>
      <c r="I20" s="378">
        <f t="shared" ref="I20:I76" si="1">IFERROR(H20-G20,0)</f>
        <v>0</v>
      </c>
      <c r="J20" s="99"/>
      <c r="K20" s="381" t="str">
        <f>IF(B20="","",IF(J20=1,Data!$K$2,IF(J20=0,Data!$K$5,Data!$K$3)))</f>
        <v/>
      </c>
      <c r="L20" s="383" t="str">
        <f ca="1">IF(H20="","",IF(B20="","",IF(K20=Data!$K$2,"",IF(H20&lt;TODAY(),"!",""))))</f>
        <v/>
      </c>
    </row>
    <row r="21" spans="1:12" s="281" customFormat="1" ht="27" customHeight="1">
      <c r="A21" s="355"/>
      <c r="B21" s="510"/>
      <c r="C21" s="510"/>
      <c r="D21" s="511"/>
      <c r="E21" s="512"/>
      <c r="F21" s="219"/>
      <c r="G21" s="98"/>
      <c r="H21" s="98"/>
      <c r="I21" s="378">
        <f t="shared" si="1"/>
        <v>0</v>
      </c>
      <c r="J21" s="99"/>
      <c r="K21" s="381" t="str">
        <f>IF(B21="","",IF(J21=1,Data!$K$2,IF(J21=0,Data!$K$5,Data!$K$3)))</f>
        <v/>
      </c>
      <c r="L21" s="383" t="str">
        <f ca="1">IF(H21="","",IF(B21="","",IF(K21=Data!$K$2,"",IF(H21&lt;TODAY(),"!",""))))</f>
        <v/>
      </c>
    </row>
    <row r="22" spans="1:12" s="281" customFormat="1" ht="27" customHeight="1">
      <c r="A22" s="355"/>
      <c r="B22" s="510"/>
      <c r="C22" s="510"/>
      <c r="D22" s="511"/>
      <c r="E22" s="512"/>
      <c r="F22" s="219"/>
      <c r="G22" s="98"/>
      <c r="H22" s="98"/>
      <c r="I22" s="378">
        <f t="shared" si="1"/>
        <v>0</v>
      </c>
      <c r="J22" s="99"/>
      <c r="K22" s="381" t="str">
        <f>IF(B22="","",IF(J22=1,Data!$K$2,IF(J22=0,Data!$K$5,Data!$K$3)))</f>
        <v/>
      </c>
      <c r="L22" s="383" t="str">
        <f ca="1">IF(H22="","",IF(B22="","",IF(K22=Data!$K$2,"",IF(H22&lt;TODAY(),"!",""))))</f>
        <v/>
      </c>
    </row>
    <row r="23" spans="1:12" s="281" customFormat="1" ht="27" customHeight="1">
      <c r="A23" s="355"/>
      <c r="B23" s="510"/>
      <c r="C23" s="510"/>
      <c r="D23" s="511"/>
      <c r="E23" s="512"/>
      <c r="F23" s="219"/>
      <c r="G23" s="98"/>
      <c r="H23" s="98"/>
      <c r="I23" s="378">
        <f t="shared" si="1"/>
        <v>0</v>
      </c>
      <c r="J23" s="99"/>
      <c r="K23" s="381" t="str">
        <f>IF(B23="","",IF(J23=1,Data!$K$2,IF(J23=0,Data!$K$5,Data!$K$3)))</f>
        <v/>
      </c>
      <c r="L23" s="383" t="str">
        <f ca="1">IF(H23="","",IF(B23="","",IF(K23=Data!$K$2,"",IF(H23&lt;TODAY(),"!",""))))</f>
        <v/>
      </c>
    </row>
    <row r="24" spans="1:12" s="281" customFormat="1" ht="27" customHeight="1">
      <c r="A24" s="355"/>
      <c r="B24" s="510"/>
      <c r="C24" s="510"/>
      <c r="D24" s="511"/>
      <c r="E24" s="512"/>
      <c r="F24" s="219"/>
      <c r="G24" s="98"/>
      <c r="H24" s="98"/>
      <c r="I24" s="378">
        <f t="shared" si="1"/>
        <v>0</v>
      </c>
      <c r="J24" s="99"/>
      <c r="K24" s="381" t="str">
        <f>IF(B24="","",IF(J24=1,Data!$K$2,IF(J24=0,Data!$K$5,Data!$K$3)))</f>
        <v/>
      </c>
      <c r="L24" s="383" t="str">
        <f ca="1">IF(H24="","",IF(B24="","",IF(K24=Data!$K$2,"",IF(H24&lt;TODAY(),"!",""))))</f>
        <v/>
      </c>
    </row>
    <row r="25" spans="1:12" s="281" customFormat="1" ht="27" customHeight="1">
      <c r="A25" s="355"/>
      <c r="B25" s="510"/>
      <c r="C25" s="510"/>
      <c r="D25" s="511"/>
      <c r="E25" s="512"/>
      <c r="F25" s="219"/>
      <c r="G25" s="98"/>
      <c r="H25" s="98"/>
      <c r="I25" s="378">
        <f t="shared" si="1"/>
        <v>0</v>
      </c>
      <c r="J25" s="99"/>
      <c r="K25" s="381" t="str">
        <f>IF(B25="","",IF(J25=1,Data!$K$2,IF(J25=0,Data!$K$5,Data!$K$3)))</f>
        <v/>
      </c>
      <c r="L25" s="383" t="str">
        <f ca="1">IF(H25="","",IF(B25="","",IF(K25=Data!$K$2,"",IF(H25&lt;TODAY(),"!",""))))</f>
        <v/>
      </c>
    </row>
    <row r="26" spans="1:12" s="281" customFormat="1" ht="27" customHeight="1">
      <c r="A26" s="355"/>
      <c r="B26" s="510"/>
      <c r="C26" s="510"/>
      <c r="D26" s="511"/>
      <c r="E26" s="512"/>
      <c r="F26" s="219"/>
      <c r="G26" s="98"/>
      <c r="H26" s="98"/>
      <c r="I26" s="378">
        <f t="shared" si="1"/>
        <v>0</v>
      </c>
      <c r="J26" s="99"/>
      <c r="K26" s="381" t="str">
        <f>IF(B26="","",IF(J26=1,Data!$K$2,IF(J26=0,Data!$K$5,Data!$K$3)))</f>
        <v/>
      </c>
      <c r="L26" s="383" t="str">
        <f ca="1">IF(H26="","",IF(B26="","",IF(K26=Data!$K$2,"",IF(H26&lt;TODAY(),"!",""))))</f>
        <v/>
      </c>
    </row>
    <row r="27" spans="1:12" s="281" customFormat="1" ht="27" customHeight="1">
      <c r="A27" s="355"/>
      <c r="B27" s="510"/>
      <c r="C27" s="510"/>
      <c r="D27" s="511"/>
      <c r="E27" s="512"/>
      <c r="F27" s="219"/>
      <c r="G27" s="98"/>
      <c r="H27" s="98"/>
      <c r="I27" s="378">
        <f t="shared" si="1"/>
        <v>0</v>
      </c>
      <c r="J27" s="99"/>
      <c r="K27" s="381" t="str">
        <f>IF(B27="","",IF(J27=1,Data!$K$2,IF(J27=0,Data!$K$5,Data!$K$3)))</f>
        <v/>
      </c>
      <c r="L27" s="383" t="str">
        <f ca="1">IF(H27="","",IF(B27="","",IF(K27=Data!$K$2,"",IF(H27&lt;TODAY(),"!",""))))</f>
        <v/>
      </c>
    </row>
    <row r="28" spans="1:12" s="281" customFormat="1" ht="27" customHeight="1">
      <c r="A28" s="355"/>
      <c r="B28" s="510"/>
      <c r="C28" s="510"/>
      <c r="D28" s="511"/>
      <c r="E28" s="512"/>
      <c r="F28" s="219"/>
      <c r="G28" s="98"/>
      <c r="H28" s="98"/>
      <c r="I28" s="378">
        <f t="shared" si="1"/>
        <v>0</v>
      </c>
      <c r="J28" s="99"/>
      <c r="K28" s="381" t="str">
        <f>IF(B28="","",IF(J28=1,Data!$K$2,IF(J28=0,Data!$K$5,Data!$K$3)))</f>
        <v/>
      </c>
      <c r="L28" s="383" t="str">
        <f ca="1">IF(H28="","",IF(B28="","",IF(K28=Data!$K$2,"",IF(H28&lt;TODAY(),"!",""))))</f>
        <v/>
      </c>
    </row>
    <row r="29" spans="1:12" s="281" customFormat="1" ht="27" customHeight="1">
      <c r="A29" s="355"/>
      <c r="B29" s="510"/>
      <c r="C29" s="510"/>
      <c r="D29" s="511"/>
      <c r="E29" s="512"/>
      <c r="F29" s="219"/>
      <c r="G29" s="98"/>
      <c r="H29" s="98"/>
      <c r="I29" s="378">
        <f t="shared" si="1"/>
        <v>0</v>
      </c>
      <c r="J29" s="99"/>
      <c r="K29" s="381" t="str">
        <f>IF(B29="","",IF(J29=1,Data!$K$2,IF(J29=0,Data!$K$5,Data!$K$3)))</f>
        <v/>
      </c>
      <c r="L29" s="383" t="str">
        <f ca="1">IF(H29="","",IF(B29="","",IF(K29=Data!$K$2,"",IF(H29&lt;TODAY(),"!",""))))</f>
        <v/>
      </c>
    </row>
    <row r="30" spans="1:12" s="281" customFormat="1" ht="27" customHeight="1">
      <c r="A30" s="355"/>
      <c r="B30" s="510"/>
      <c r="C30" s="510"/>
      <c r="D30" s="511"/>
      <c r="E30" s="512"/>
      <c r="F30" s="219"/>
      <c r="G30" s="98"/>
      <c r="H30" s="98"/>
      <c r="I30" s="378">
        <f t="shared" si="1"/>
        <v>0</v>
      </c>
      <c r="J30" s="99"/>
      <c r="K30" s="381" t="str">
        <f>IF(B30="","",IF(J30=1,Data!$K$2,IF(J30=0,Data!$K$5,Data!$K$3)))</f>
        <v/>
      </c>
      <c r="L30" s="383" t="str">
        <f ca="1">IF(H30="","",IF(B30="","",IF(K30=Data!$K$2,"",IF(H30&lt;TODAY(),"!",""))))</f>
        <v/>
      </c>
    </row>
    <row r="31" spans="1:12" s="281" customFormat="1" ht="27" customHeight="1">
      <c r="A31" s="355"/>
      <c r="B31" s="510"/>
      <c r="C31" s="510"/>
      <c r="D31" s="511"/>
      <c r="E31" s="512"/>
      <c r="F31" s="219"/>
      <c r="G31" s="98"/>
      <c r="H31" s="98"/>
      <c r="I31" s="378">
        <f t="shared" si="1"/>
        <v>0</v>
      </c>
      <c r="J31" s="99"/>
      <c r="K31" s="381" t="str">
        <f>IF(B31="","",IF(J31=1,Data!$K$2,IF(J31=0,Data!$K$5,Data!$K$3)))</f>
        <v/>
      </c>
      <c r="L31" s="383" t="str">
        <f ca="1">IF(H31="","",IF(B31="","",IF(K31=Data!$K$2,"",IF(H31&lt;TODAY(),"!",""))))</f>
        <v/>
      </c>
    </row>
    <row r="32" spans="1:12" s="281" customFormat="1" ht="27" customHeight="1">
      <c r="A32" s="355"/>
      <c r="B32" s="510"/>
      <c r="C32" s="510"/>
      <c r="D32" s="511"/>
      <c r="E32" s="512"/>
      <c r="F32" s="219"/>
      <c r="G32" s="98"/>
      <c r="H32" s="98"/>
      <c r="I32" s="378">
        <f t="shared" si="1"/>
        <v>0</v>
      </c>
      <c r="J32" s="99"/>
      <c r="K32" s="381" t="str">
        <f>IF(B32="","",IF(J32=1,Data!$K$2,IF(J32=0,Data!$K$5,Data!$K$3)))</f>
        <v/>
      </c>
      <c r="L32" s="383" t="str">
        <f ca="1">IF(H32="","",IF(B32="","",IF(K32=Data!$K$2,"",IF(H32&lt;TODAY(),"!",""))))</f>
        <v/>
      </c>
    </row>
    <row r="33" spans="1:12" s="281" customFormat="1" ht="27" customHeight="1">
      <c r="A33" s="355"/>
      <c r="B33" s="510"/>
      <c r="C33" s="510"/>
      <c r="D33" s="511"/>
      <c r="E33" s="512"/>
      <c r="F33" s="219"/>
      <c r="G33" s="98"/>
      <c r="H33" s="98"/>
      <c r="I33" s="378">
        <f t="shared" si="1"/>
        <v>0</v>
      </c>
      <c r="J33" s="99"/>
      <c r="K33" s="381" t="str">
        <f>IF(B33="","",IF(J33=1,Data!$K$2,IF(J33=0,Data!$K$5,Data!$K$3)))</f>
        <v/>
      </c>
      <c r="L33" s="383" t="str">
        <f ca="1">IF(H33="","",IF(B33="","",IF(K33=Data!$K$2,"",IF(H33&lt;TODAY(),"!",""))))</f>
        <v/>
      </c>
    </row>
    <row r="34" spans="1:12" s="281" customFormat="1" ht="27" customHeight="1">
      <c r="A34" s="355"/>
      <c r="B34" s="510"/>
      <c r="C34" s="510"/>
      <c r="D34" s="511"/>
      <c r="E34" s="512"/>
      <c r="F34" s="219"/>
      <c r="G34" s="98"/>
      <c r="H34" s="98"/>
      <c r="I34" s="378">
        <f t="shared" si="1"/>
        <v>0</v>
      </c>
      <c r="J34" s="99"/>
      <c r="K34" s="381" t="str">
        <f>IF(B34="","",IF(J34=1,Data!$K$2,IF(J34=0,Data!$K$5,Data!$K$3)))</f>
        <v/>
      </c>
      <c r="L34" s="383" t="str">
        <f ca="1">IF(H34="","",IF(B34="","",IF(K34=Data!$K$2,"",IF(H34&lt;TODAY(),"!",""))))</f>
        <v/>
      </c>
    </row>
    <row r="35" spans="1:12" s="281" customFormat="1" ht="27" customHeight="1">
      <c r="A35" s="355"/>
      <c r="B35" s="510"/>
      <c r="C35" s="510"/>
      <c r="D35" s="511"/>
      <c r="E35" s="512"/>
      <c r="F35" s="219"/>
      <c r="G35" s="98"/>
      <c r="H35" s="98"/>
      <c r="I35" s="378">
        <f t="shared" si="1"/>
        <v>0</v>
      </c>
      <c r="J35" s="99"/>
      <c r="K35" s="381" t="str">
        <f>IF(B35="","",IF(J35=1,Data!$K$2,IF(J35=0,Data!$K$5,Data!$K$3)))</f>
        <v/>
      </c>
      <c r="L35" s="383" t="str">
        <f ca="1">IF(H35="","",IF(B35="","",IF(K35=Data!$K$2,"",IF(H35&lt;TODAY(),"!",""))))</f>
        <v/>
      </c>
    </row>
    <row r="36" spans="1:12" s="281" customFormat="1" ht="27" customHeight="1">
      <c r="A36" s="355"/>
      <c r="B36" s="510"/>
      <c r="C36" s="510"/>
      <c r="D36" s="511"/>
      <c r="E36" s="512"/>
      <c r="F36" s="219"/>
      <c r="G36" s="98"/>
      <c r="H36" s="98"/>
      <c r="I36" s="378">
        <f t="shared" si="1"/>
        <v>0</v>
      </c>
      <c r="J36" s="99"/>
      <c r="K36" s="381" t="str">
        <f>IF(B36="","",IF(J36=1,Data!$K$2,IF(J36=0,Data!$K$5,Data!$K$3)))</f>
        <v/>
      </c>
      <c r="L36" s="383" t="str">
        <f ca="1">IF(H36="","",IF(B36="","",IF(K36=Data!$K$2,"",IF(H36&lt;TODAY(),"!",""))))</f>
        <v/>
      </c>
    </row>
    <row r="37" spans="1:12" s="281" customFormat="1" ht="27" customHeight="1">
      <c r="A37" s="355"/>
      <c r="B37" s="510"/>
      <c r="C37" s="510"/>
      <c r="D37" s="511"/>
      <c r="E37" s="512"/>
      <c r="F37" s="219"/>
      <c r="G37" s="98"/>
      <c r="H37" s="98"/>
      <c r="I37" s="378">
        <f t="shared" si="1"/>
        <v>0</v>
      </c>
      <c r="J37" s="99"/>
      <c r="K37" s="381" t="str">
        <f>IF(B37="","",IF(J37=1,Data!$K$2,IF(J37=0,Data!$K$5,Data!$K$3)))</f>
        <v/>
      </c>
      <c r="L37" s="383" t="str">
        <f ca="1">IF(H37="","",IF(B37="","",IF(K37=Data!$K$2,"",IF(H37&lt;TODAY(),"!",""))))</f>
        <v/>
      </c>
    </row>
    <row r="38" spans="1:12" s="281" customFormat="1" ht="27" customHeight="1">
      <c r="A38" s="355"/>
      <c r="B38" s="510"/>
      <c r="C38" s="510"/>
      <c r="D38" s="511"/>
      <c r="E38" s="512"/>
      <c r="F38" s="219"/>
      <c r="G38" s="98"/>
      <c r="H38" s="98"/>
      <c r="I38" s="378">
        <f t="shared" si="1"/>
        <v>0</v>
      </c>
      <c r="J38" s="99"/>
      <c r="K38" s="381" t="str">
        <f>IF(B38="","",IF(J38=1,Data!$K$2,IF(J38=0,Data!$K$5,Data!$K$3)))</f>
        <v/>
      </c>
      <c r="L38" s="383" t="str">
        <f ca="1">IF(H38="","",IF(B38="","",IF(K38=Data!$K$2,"",IF(H38&lt;TODAY(),"!",""))))</f>
        <v/>
      </c>
    </row>
    <row r="39" spans="1:12" s="281" customFormat="1" ht="27" customHeight="1">
      <c r="A39" s="355"/>
      <c r="B39" s="510"/>
      <c r="C39" s="510"/>
      <c r="D39" s="511"/>
      <c r="E39" s="512"/>
      <c r="F39" s="219"/>
      <c r="G39" s="98"/>
      <c r="H39" s="98"/>
      <c r="I39" s="378">
        <f t="shared" si="1"/>
        <v>0</v>
      </c>
      <c r="J39" s="99"/>
      <c r="K39" s="381" t="str">
        <f>IF(B39="","",IF(J39=1,Data!$K$2,IF(J39=0,Data!$K$5,Data!$K$3)))</f>
        <v/>
      </c>
      <c r="L39" s="383" t="str">
        <f ca="1">IF(H39="","",IF(B39="","",IF(K39=Data!$K$2,"",IF(H39&lt;TODAY(),"!",""))))</f>
        <v/>
      </c>
    </row>
    <row r="40" spans="1:12" s="281" customFormat="1" ht="27" customHeight="1">
      <c r="A40" s="355"/>
      <c r="B40" s="510"/>
      <c r="C40" s="510"/>
      <c r="D40" s="511"/>
      <c r="E40" s="512"/>
      <c r="F40" s="219"/>
      <c r="G40" s="98"/>
      <c r="H40" s="98"/>
      <c r="I40" s="378">
        <f t="shared" si="1"/>
        <v>0</v>
      </c>
      <c r="J40" s="99"/>
      <c r="K40" s="381" t="str">
        <f>IF(B40="","",IF(J40=1,Data!$K$2,IF(J40=0,Data!$K$5,Data!$K$3)))</f>
        <v/>
      </c>
      <c r="L40" s="383" t="str">
        <f ca="1">IF(H40="","",IF(B40="","",IF(K40=Data!$K$2,"",IF(H40&lt;TODAY(),"!",""))))</f>
        <v/>
      </c>
    </row>
    <row r="41" spans="1:12" s="281" customFormat="1" ht="27" customHeight="1">
      <c r="A41" s="355"/>
      <c r="B41" s="510"/>
      <c r="C41" s="510"/>
      <c r="D41" s="511"/>
      <c r="E41" s="512"/>
      <c r="F41" s="219"/>
      <c r="G41" s="98"/>
      <c r="H41" s="98"/>
      <c r="I41" s="378">
        <f t="shared" si="1"/>
        <v>0</v>
      </c>
      <c r="J41" s="99"/>
      <c r="K41" s="381" t="str">
        <f>IF(B41="","",IF(J41=1,Data!$K$2,IF(J41=0,Data!$K$5,Data!$K$3)))</f>
        <v/>
      </c>
      <c r="L41" s="383" t="str">
        <f ca="1">IF(H41="","",IF(B41="","",IF(K41=Data!$K$2,"",IF(H41&lt;TODAY(),"!",""))))</f>
        <v/>
      </c>
    </row>
    <row r="42" spans="1:12" s="281" customFormat="1" ht="27" customHeight="1">
      <c r="A42" s="355"/>
      <c r="B42" s="510"/>
      <c r="C42" s="510"/>
      <c r="D42" s="511"/>
      <c r="E42" s="512"/>
      <c r="F42" s="219"/>
      <c r="G42" s="98"/>
      <c r="H42" s="98"/>
      <c r="I42" s="378">
        <f t="shared" si="1"/>
        <v>0</v>
      </c>
      <c r="J42" s="99"/>
      <c r="K42" s="381" t="str">
        <f>IF(B42="","",IF(J42=1,Data!$K$2,IF(J42=0,Data!$K$5,Data!$K$3)))</f>
        <v/>
      </c>
      <c r="L42" s="383" t="str">
        <f ca="1">IF(H42="","",IF(B42="","",IF(K42=Data!$K$2,"",IF(H42&lt;TODAY(),"!",""))))</f>
        <v/>
      </c>
    </row>
    <row r="43" spans="1:12" s="281" customFormat="1" ht="27" customHeight="1">
      <c r="A43" s="355"/>
      <c r="B43" s="510"/>
      <c r="C43" s="510"/>
      <c r="D43" s="511"/>
      <c r="E43" s="512"/>
      <c r="F43" s="219"/>
      <c r="G43" s="98"/>
      <c r="H43" s="98"/>
      <c r="I43" s="378">
        <f t="shared" si="1"/>
        <v>0</v>
      </c>
      <c r="J43" s="99"/>
      <c r="K43" s="381" t="str">
        <f>IF(B43="","",IF(J43=1,Data!$K$2,IF(J43=0,Data!$K$5,Data!$K$3)))</f>
        <v/>
      </c>
      <c r="L43" s="383" t="str">
        <f ca="1">IF(H43="","",IF(B43="","",IF(K43=Data!$K$2,"",IF(H43&lt;TODAY(),"!",""))))</f>
        <v/>
      </c>
    </row>
    <row r="44" spans="1:12" s="281" customFormat="1" ht="27" customHeight="1">
      <c r="A44" s="355"/>
      <c r="B44" s="510"/>
      <c r="C44" s="510"/>
      <c r="D44" s="511"/>
      <c r="E44" s="512"/>
      <c r="F44" s="219"/>
      <c r="G44" s="98"/>
      <c r="H44" s="98"/>
      <c r="I44" s="378">
        <f t="shared" si="1"/>
        <v>0</v>
      </c>
      <c r="J44" s="99"/>
      <c r="K44" s="381" t="str">
        <f>IF(B44="","",IF(J44=1,Data!$K$2,IF(J44=0,Data!$K$5,Data!$K$3)))</f>
        <v/>
      </c>
      <c r="L44" s="383" t="str">
        <f ca="1">IF(H44="","",IF(B44="","",IF(K44=Data!$K$2,"",IF(H44&lt;TODAY(),"!",""))))</f>
        <v/>
      </c>
    </row>
    <row r="45" spans="1:12" s="281" customFormat="1" ht="27" customHeight="1">
      <c r="A45" s="355"/>
      <c r="B45" s="510"/>
      <c r="C45" s="510"/>
      <c r="D45" s="511"/>
      <c r="E45" s="512"/>
      <c r="F45" s="219"/>
      <c r="G45" s="98"/>
      <c r="H45" s="98"/>
      <c r="I45" s="378">
        <f t="shared" si="1"/>
        <v>0</v>
      </c>
      <c r="J45" s="99"/>
      <c r="K45" s="381" t="str">
        <f>IF(B45="","",IF(J45=1,Data!$K$2,IF(J45=0,Data!$K$5,Data!$K$3)))</f>
        <v/>
      </c>
      <c r="L45" s="383" t="str">
        <f ca="1">IF(H45="","",IF(B45="","",IF(K45=Data!$K$2,"",IF(H45&lt;TODAY(),"!",""))))</f>
        <v/>
      </c>
    </row>
    <row r="46" spans="1:12" s="281" customFormat="1" ht="27" customHeight="1">
      <c r="A46" s="355"/>
      <c r="B46" s="510"/>
      <c r="C46" s="510"/>
      <c r="D46" s="511"/>
      <c r="E46" s="512"/>
      <c r="F46" s="219"/>
      <c r="G46" s="98"/>
      <c r="H46" s="98"/>
      <c r="I46" s="378">
        <f t="shared" si="1"/>
        <v>0</v>
      </c>
      <c r="J46" s="99"/>
      <c r="K46" s="381" t="str">
        <f>IF(B46="","",IF(J46=1,Data!$K$2,IF(J46=0,Data!$K$5,Data!$K$3)))</f>
        <v/>
      </c>
      <c r="L46" s="383" t="str">
        <f ca="1">IF(H46="","",IF(B46="","",IF(K46=Data!$K$2,"",IF(H46&lt;TODAY(),"!",""))))</f>
        <v/>
      </c>
    </row>
    <row r="47" spans="1:12" s="281" customFormat="1" ht="27" customHeight="1">
      <c r="A47" s="355"/>
      <c r="B47" s="510"/>
      <c r="C47" s="510"/>
      <c r="D47" s="511"/>
      <c r="E47" s="512"/>
      <c r="F47" s="219"/>
      <c r="G47" s="98"/>
      <c r="H47" s="98"/>
      <c r="I47" s="378">
        <f t="shared" si="1"/>
        <v>0</v>
      </c>
      <c r="J47" s="99"/>
      <c r="K47" s="381" t="str">
        <f>IF(B47="","",IF(J47=1,Data!$K$2,IF(J47=0,Data!$K$5,Data!$K$3)))</f>
        <v/>
      </c>
      <c r="L47" s="383" t="str">
        <f ca="1">IF(H47="","",IF(B47="","",IF(K47=Data!$K$2,"",IF(H47&lt;TODAY(),"!",""))))</f>
        <v/>
      </c>
    </row>
    <row r="48" spans="1:12" s="281" customFormat="1" ht="27" customHeight="1">
      <c r="A48" s="355"/>
      <c r="B48" s="510"/>
      <c r="C48" s="510"/>
      <c r="D48" s="511"/>
      <c r="E48" s="512"/>
      <c r="F48" s="219"/>
      <c r="G48" s="98"/>
      <c r="H48" s="98"/>
      <c r="I48" s="378">
        <f t="shared" si="1"/>
        <v>0</v>
      </c>
      <c r="J48" s="99"/>
      <c r="K48" s="381" t="str">
        <f>IF(B48="","",IF(J48=1,Data!$K$2,IF(J48=0,Data!$K$5,Data!$K$3)))</f>
        <v/>
      </c>
      <c r="L48" s="383" t="str">
        <f ca="1">IF(H48="","",IF(B48="","",IF(K48=Data!$K$2,"",IF(H48&lt;TODAY(),"!",""))))</f>
        <v/>
      </c>
    </row>
    <row r="49" spans="1:12" s="281" customFormat="1" ht="27" customHeight="1">
      <c r="A49" s="355"/>
      <c r="B49" s="510"/>
      <c r="C49" s="510"/>
      <c r="D49" s="511"/>
      <c r="E49" s="512"/>
      <c r="F49" s="219"/>
      <c r="G49" s="98"/>
      <c r="H49" s="98"/>
      <c r="I49" s="378">
        <f t="shared" si="1"/>
        <v>0</v>
      </c>
      <c r="J49" s="99"/>
      <c r="K49" s="381" t="str">
        <f>IF(B49="","",IF(J49=1,Data!$K$2,IF(J49=0,Data!$K$5,Data!$K$3)))</f>
        <v/>
      </c>
      <c r="L49" s="383" t="str">
        <f ca="1">IF(H49="","",IF(B49="","",IF(K49=Data!$K$2,"",IF(H49&lt;TODAY(),"!",""))))</f>
        <v/>
      </c>
    </row>
    <row r="50" spans="1:12" s="281" customFormat="1" ht="27" customHeight="1">
      <c r="A50" s="355"/>
      <c r="B50" s="510"/>
      <c r="C50" s="510"/>
      <c r="D50" s="511"/>
      <c r="E50" s="512"/>
      <c r="F50" s="219"/>
      <c r="G50" s="98"/>
      <c r="H50" s="98"/>
      <c r="I50" s="378">
        <f t="shared" si="1"/>
        <v>0</v>
      </c>
      <c r="J50" s="99"/>
      <c r="K50" s="381" t="str">
        <f>IF(B50="","",IF(J50=1,Data!$K$2,IF(J50=0,Data!$K$5,Data!$K$3)))</f>
        <v/>
      </c>
      <c r="L50" s="383" t="str">
        <f ca="1">IF(H50="","",IF(B50="","",IF(K50=Data!$K$2,"",IF(H50&lt;TODAY(),"!",""))))</f>
        <v/>
      </c>
    </row>
    <row r="51" spans="1:12" s="281" customFormat="1" ht="27" customHeight="1">
      <c r="A51" s="355"/>
      <c r="B51" s="510"/>
      <c r="C51" s="510"/>
      <c r="D51" s="511"/>
      <c r="E51" s="512"/>
      <c r="F51" s="219"/>
      <c r="G51" s="98"/>
      <c r="H51" s="98"/>
      <c r="I51" s="378">
        <f t="shared" si="1"/>
        <v>0</v>
      </c>
      <c r="J51" s="99"/>
      <c r="K51" s="381" t="str">
        <f>IF(B51="","",IF(J51=1,Data!$K$2,IF(J51=0,Data!$K$5,Data!$K$3)))</f>
        <v/>
      </c>
      <c r="L51" s="383" t="str">
        <f ca="1">IF(H51="","",IF(B51="","",IF(K51=Data!$K$2,"",IF(H51&lt;TODAY(),"!",""))))</f>
        <v/>
      </c>
    </row>
    <row r="52" spans="1:12" s="281" customFormat="1" ht="27" customHeight="1">
      <c r="A52" s="355"/>
      <c r="B52" s="510"/>
      <c r="C52" s="510"/>
      <c r="D52" s="511"/>
      <c r="E52" s="512"/>
      <c r="F52" s="219"/>
      <c r="G52" s="98"/>
      <c r="H52" s="98"/>
      <c r="I52" s="378">
        <f t="shared" si="1"/>
        <v>0</v>
      </c>
      <c r="J52" s="99"/>
      <c r="K52" s="381" t="str">
        <f>IF(B52="","",IF(J52=1,Data!$K$2,IF(J52=0,Data!$K$5,Data!$K$3)))</f>
        <v/>
      </c>
      <c r="L52" s="383" t="str">
        <f ca="1">IF(H52="","",IF(B52="","",IF(K52=Data!$K$2,"",IF(H52&lt;TODAY(),"!",""))))</f>
        <v/>
      </c>
    </row>
    <row r="53" spans="1:12" s="281" customFormat="1" ht="27" customHeight="1">
      <c r="A53" s="355"/>
      <c r="B53" s="510"/>
      <c r="C53" s="510"/>
      <c r="D53" s="511"/>
      <c r="E53" s="512"/>
      <c r="F53" s="219"/>
      <c r="G53" s="98"/>
      <c r="H53" s="98"/>
      <c r="I53" s="378">
        <f t="shared" si="1"/>
        <v>0</v>
      </c>
      <c r="J53" s="99"/>
      <c r="K53" s="381" t="str">
        <f>IF(B53="","",IF(J53=1,Data!$K$2,IF(J53=0,Data!$K$5,Data!$K$3)))</f>
        <v/>
      </c>
      <c r="L53" s="383" t="str">
        <f ca="1">IF(H53="","",IF(B53="","",IF(K53=Data!$K$2,"",IF(H53&lt;TODAY(),"!",""))))</f>
        <v/>
      </c>
    </row>
    <row r="54" spans="1:12" s="281" customFormat="1" ht="27" customHeight="1">
      <c r="A54" s="355"/>
      <c r="B54" s="510"/>
      <c r="C54" s="510"/>
      <c r="D54" s="511"/>
      <c r="E54" s="512"/>
      <c r="F54" s="219"/>
      <c r="G54" s="98"/>
      <c r="H54" s="98"/>
      <c r="I54" s="378">
        <f t="shared" si="1"/>
        <v>0</v>
      </c>
      <c r="J54" s="99"/>
      <c r="K54" s="381" t="str">
        <f>IF(B54="","",IF(J54=1,Data!$K$2,IF(J54=0,Data!$K$5,Data!$K$3)))</f>
        <v/>
      </c>
      <c r="L54" s="383" t="str">
        <f ca="1">IF(H54="","",IF(B54="","",IF(K54=Data!$K$2,"",IF(H54&lt;TODAY(),"!",""))))</f>
        <v/>
      </c>
    </row>
    <row r="55" spans="1:12" s="281" customFormat="1" ht="27" customHeight="1">
      <c r="A55" s="357"/>
      <c r="B55" s="510"/>
      <c r="C55" s="510"/>
      <c r="D55" s="511"/>
      <c r="E55" s="512"/>
      <c r="F55" s="219"/>
      <c r="G55" s="98"/>
      <c r="H55" s="98"/>
      <c r="I55" s="378">
        <f t="shared" si="1"/>
        <v>0</v>
      </c>
      <c r="J55" s="99"/>
      <c r="K55" s="381" t="str">
        <f>IF(B55="","",IF(J55=1,Data!$K$2,IF(J55=0,Data!$K$5,Data!$K$3)))</f>
        <v/>
      </c>
      <c r="L55" s="383" t="str">
        <f ca="1">IF(H55="","",IF(B55="","",IF(K55=Data!$K$2,"",IF(H55&lt;TODAY(),"!",""))))</f>
        <v/>
      </c>
    </row>
    <row r="56" spans="1:12" s="281" customFormat="1" ht="27" customHeight="1">
      <c r="A56" s="357"/>
      <c r="B56" s="510"/>
      <c r="C56" s="510"/>
      <c r="D56" s="511"/>
      <c r="E56" s="512"/>
      <c r="F56" s="219"/>
      <c r="G56" s="98"/>
      <c r="H56" s="98"/>
      <c r="I56" s="378">
        <f t="shared" si="1"/>
        <v>0</v>
      </c>
      <c r="J56" s="99"/>
      <c r="K56" s="381" t="str">
        <f>IF(B56="","",IF(J56=1,Data!$K$2,IF(J56=0,Data!$K$5,Data!$K$3)))</f>
        <v/>
      </c>
      <c r="L56" s="383" t="str">
        <f ca="1">IF(H56="","",IF(B56="","",IF(K56=Data!$K$2,"",IF(H56&lt;TODAY(),"!",""))))</f>
        <v/>
      </c>
    </row>
    <row r="57" spans="1:12" s="281" customFormat="1" ht="27" customHeight="1">
      <c r="A57" s="357"/>
      <c r="B57" s="510"/>
      <c r="C57" s="510"/>
      <c r="D57" s="511"/>
      <c r="E57" s="512"/>
      <c r="F57" s="219"/>
      <c r="G57" s="98"/>
      <c r="H57" s="98"/>
      <c r="I57" s="378">
        <f t="shared" si="1"/>
        <v>0</v>
      </c>
      <c r="J57" s="99"/>
      <c r="K57" s="381" t="str">
        <f>IF(B57="","",IF(J57=1,Data!$K$2,IF(J57=0,Data!$K$5,Data!$K$3)))</f>
        <v/>
      </c>
      <c r="L57" s="383" t="str">
        <f ca="1">IF(H57="","",IF(B57="","",IF(K57=Data!$K$2,"",IF(H57&lt;TODAY(),"!",""))))</f>
        <v/>
      </c>
    </row>
    <row r="58" spans="1:12" s="281" customFormat="1" ht="27" customHeight="1">
      <c r="A58" s="357"/>
      <c r="B58" s="510"/>
      <c r="C58" s="510"/>
      <c r="D58" s="511"/>
      <c r="E58" s="512"/>
      <c r="F58" s="219"/>
      <c r="G58" s="98"/>
      <c r="H58" s="98"/>
      <c r="I58" s="378">
        <f t="shared" si="1"/>
        <v>0</v>
      </c>
      <c r="J58" s="99"/>
      <c r="K58" s="381" t="str">
        <f>IF(B58="","",IF(J58=1,Data!$K$2,IF(J58=0,Data!$K$5,Data!$K$3)))</f>
        <v/>
      </c>
      <c r="L58" s="383" t="str">
        <f ca="1">IF(H58="","",IF(B58="","",IF(K58=Data!$K$2,"",IF(H58&lt;TODAY(),"!",""))))</f>
        <v/>
      </c>
    </row>
    <row r="59" spans="1:12" s="281" customFormat="1" ht="27" customHeight="1">
      <c r="A59" s="357"/>
      <c r="B59" s="510"/>
      <c r="C59" s="510"/>
      <c r="D59" s="511"/>
      <c r="E59" s="512"/>
      <c r="F59" s="219"/>
      <c r="G59" s="98"/>
      <c r="H59" s="98"/>
      <c r="I59" s="378">
        <f t="shared" si="1"/>
        <v>0</v>
      </c>
      <c r="J59" s="99"/>
      <c r="K59" s="381" t="str">
        <f>IF(B59="","",IF(J59=1,Data!$K$2,IF(J59=0,Data!$K$5,Data!$K$3)))</f>
        <v/>
      </c>
      <c r="L59" s="383" t="str">
        <f ca="1">IF(H59="","",IF(B59="","",IF(K59=Data!$K$2,"",IF(H59&lt;TODAY(),"!",""))))</f>
        <v/>
      </c>
    </row>
    <row r="60" spans="1:12" s="281" customFormat="1" ht="27" customHeight="1">
      <c r="A60" s="357"/>
      <c r="B60" s="510"/>
      <c r="C60" s="510"/>
      <c r="D60" s="511"/>
      <c r="E60" s="512"/>
      <c r="F60" s="219"/>
      <c r="G60" s="98"/>
      <c r="H60" s="98"/>
      <c r="I60" s="378">
        <f t="shared" si="1"/>
        <v>0</v>
      </c>
      <c r="J60" s="99"/>
      <c r="K60" s="381" t="str">
        <f>IF(B60="","",IF(J60=1,Data!$K$2,IF(J60=0,Data!$K$5,Data!$K$3)))</f>
        <v/>
      </c>
      <c r="L60" s="383" t="str">
        <f ca="1">IF(H60="","",IF(B60="","",IF(K60=Data!$K$2,"",IF(H60&lt;TODAY(),"!",""))))</f>
        <v/>
      </c>
    </row>
    <row r="61" spans="1:12" s="281" customFormat="1" ht="27" customHeight="1">
      <c r="A61" s="357"/>
      <c r="B61" s="510"/>
      <c r="C61" s="510"/>
      <c r="D61" s="511"/>
      <c r="E61" s="512"/>
      <c r="F61" s="219"/>
      <c r="G61" s="98"/>
      <c r="H61" s="98"/>
      <c r="I61" s="378">
        <f t="shared" si="1"/>
        <v>0</v>
      </c>
      <c r="J61" s="99"/>
      <c r="K61" s="381" t="str">
        <f>IF(B61="","",IF(J61=1,Data!$K$2,IF(J61=0,Data!$K$5,Data!$K$3)))</f>
        <v/>
      </c>
      <c r="L61" s="383" t="str">
        <f ca="1">IF(H61="","",IF(B61="","",IF(K61=Data!$K$2,"",IF(H61&lt;TODAY(),"!",""))))</f>
        <v/>
      </c>
    </row>
    <row r="62" spans="1:12" s="281" customFormat="1" ht="27" customHeight="1">
      <c r="A62" s="357"/>
      <c r="B62" s="510"/>
      <c r="C62" s="510"/>
      <c r="D62" s="511"/>
      <c r="E62" s="512"/>
      <c r="F62" s="219"/>
      <c r="G62" s="98"/>
      <c r="H62" s="98"/>
      <c r="I62" s="378">
        <f t="shared" si="1"/>
        <v>0</v>
      </c>
      <c r="J62" s="99"/>
      <c r="K62" s="381" t="str">
        <f>IF(B62="","",IF(J62=1,Data!$K$2,IF(J62=0,Data!$K$5,Data!$K$3)))</f>
        <v/>
      </c>
      <c r="L62" s="383" t="str">
        <f ca="1">IF(H62="","",IF(B62="","",IF(K62=Data!$K$2,"",IF(H62&lt;TODAY(),"!",""))))</f>
        <v/>
      </c>
    </row>
    <row r="63" spans="1:12" s="281" customFormat="1" ht="27" customHeight="1">
      <c r="A63" s="357"/>
      <c r="B63" s="510"/>
      <c r="C63" s="510"/>
      <c r="D63" s="511"/>
      <c r="E63" s="512"/>
      <c r="F63" s="219"/>
      <c r="G63" s="98"/>
      <c r="H63" s="98"/>
      <c r="I63" s="378">
        <f t="shared" si="1"/>
        <v>0</v>
      </c>
      <c r="J63" s="99"/>
      <c r="K63" s="381" t="str">
        <f>IF(B63="","",IF(J63=1,Data!$K$2,IF(J63=0,Data!$K$5,Data!$K$3)))</f>
        <v/>
      </c>
      <c r="L63" s="383" t="str">
        <f ca="1">IF(H63="","",IF(B63="","",IF(K63=Data!$K$2,"",IF(H63&lt;TODAY(),"!",""))))</f>
        <v/>
      </c>
    </row>
    <row r="64" spans="1:12" s="281" customFormat="1" ht="27" customHeight="1">
      <c r="A64" s="357"/>
      <c r="B64" s="510"/>
      <c r="C64" s="510"/>
      <c r="D64" s="511"/>
      <c r="E64" s="512"/>
      <c r="F64" s="219"/>
      <c r="G64" s="98"/>
      <c r="H64" s="98"/>
      <c r="I64" s="378">
        <f t="shared" si="1"/>
        <v>0</v>
      </c>
      <c r="J64" s="99"/>
      <c r="K64" s="381" t="str">
        <f>IF(B64="","",IF(J64=1,Data!$K$2,IF(J64=0,Data!$K$5,Data!$K$3)))</f>
        <v/>
      </c>
      <c r="L64" s="383" t="str">
        <f ca="1">IF(H64="","",IF(B64="","",IF(K64=Data!$K$2,"",IF(H64&lt;TODAY(),"!",""))))</f>
        <v/>
      </c>
    </row>
    <row r="65" spans="1:12" s="281" customFormat="1" ht="27" customHeight="1">
      <c r="A65" s="357"/>
      <c r="B65" s="510"/>
      <c r="C65" s="510"/>
      <c r="D65" s="511"/>
      <c r="E65" s="512"/>
      <c r="F65" s="219"/>
      <c r="G65" s="98"/>
      <c r="H65" s="98"/>
      <c r="I65" s="378">
        <f t="shared" si="1"/>
        <v>0</v>
      </c>
      <c r="J65" s="99"/>
      <c r="K65" s="381" t="str">
        <f>IF(B65="","",IF(J65=1,Data!$K$2,IF(J65=0,Data!$K$5,Data!$K$3)))</f>
        <v/>
      </c>
      <c r="L65" s="383" t="str">
        <f ca="1">IF(H65="","",IF(B65="","",IF(K65=Data!$K$2,"",IF(H65&lt;TODAY(),"!",""))))</f>
        <v/>
      </c>
    </row>
    <row r="66" spans="1:12" s="281" customFormat="1" ht="27" customHeight="1">
      <c r="A66" s="357"/>
      <c r="B66" s="510"/>
      <c r="C66" s="510"/>
      <c r="D66" s="511"/>
      <c r="E66" s="512"/>
      <c r="F66" s="219"/>
      <c r="G66" s="98"/>
      <c r="H66" s="98"/>
      <c r="I66" s="378">
        <f t="shared" si="1"/>
        <v>0</v>
      </c>
      <c r="J66" s="99"/>
      <c r="K66" s="381" t="str">
        <f>IF(B66="","",IF(J66=1,Data!$K$2,IF(J66=0,Data!$K$5,Data!$K$3)))</f>
        <v/>
      </c>
      <c r="L66" s="383" t="str">
        <f ca="1">IF(H66="","",IF(B66="","",IF(K66=Data!$K$2,"",IF(H66&lt;TODAY(),"!",""))))</f>
        <v/>
      </c>
    </row>
    <row r="67" spans="1:12" s="281" customFormat="1" ht="27" customHeight="1">
      <c r="A67" s="357"/>
      <c r="B67" s="510"/>
      <c r="C67" s="510"/>
      <c r="D67" s="511"/>
      <c r="E67" s="512"/>
      <c r="F67" s="219"/>
      <c r="G67" s="98"/>
      <c r="H67" s="98"/>
      <c r="I67" s="378">
        <f t="shared" si="1"/>
        <v>0</v>
      </c>
      <c r="J67" s="99"/>
      <c r="K67" s="381" t="str">
        <f>IF(B67="","",IF(J67=1,Data!$K$2,IF(J67=0,Data!$K$5,Data!$K$3)))</f>
        <v/>
      </c>
      <c r="L67" s="383" t="str">
        <f ca="1">IF(H67="","",IF(B67="","",IF(K67=Data!$K$2,"",IF(H67&lt;TODAY(),"!",""))))</f>
        <v/>
      </c>
    </row>
    <row r="68" spans="1:12" ht="27" customHeight="1">
      <c r="B68" s="510"/>
      <c r="C68" s="510"/>
      <c r="D68" s="511"/>
      <c r="E68" s="512"/>
      <c r="F68" s="220"/>
      <c r="G68" s="100"/>
      <c r="H68" s="100"/>
      <c r="I68" s="379">
        <f t="shared" si="1"/>
        <v>0</v>
      </c>
      <c r="J68" s="101"/>
      <c r="K68" s="381" t="str">
        <f>IF(B68="","",IF(J68=1,Data!$K$2,IF(J68=0,Data!$K$5,Data!$K$3)))</f>
        <v/>
      </c>
      <c r="L68" s="383" t="str">
        <f ca="1">IF(H68="","",IF(B68="","",IF(K68=Data!$K$2,"",IF(H68&lt;TODAY(),"!",""))))</f>
        <v/>
      </c>
    </row>
    <row r="69" spans="1:12" ht="27" customHeight="1">
      <c r="B69" s="510"/>
      <c r="C69" s="510"/>
      <c r="D69" s="511"/>
      <c r="E69" s="512"/>
      <c r="F69" s="220"/>
      <c r="G69" s="100"/>
      <c r="H69" s="100"/>
      <c r="I69" s="379">
        <f t="shared" si="1"/>
        <v>0</v>
      </c>
      <c r="J69" s="101"/>
      <c r="K69" s="381" t="str">
        <f>IF(B69="","",IF(J69=1,Data!$K$2,IF(J69=0,Data!$K$5,Data!$K$3)))</f>
        <v/>
      </c>
      <c r="L69" s="383" t="str">
        <f ca="1">IF(H69="","",IF(B69="","",IF(K69=Data!$K$2,"",IF(H69&lt;TODAY(),"!",""))))</f>
        <v/>
      </c>
    </row>
    <row r="70" spans="1:12" ht="27" customHeight="1">
      <c r="B70" s="510"/>
      <c r="C70" s="510"/>
      <c r="D70" s="511"/>
      <c r="E70" s="512"/>
      <c r="F70" s="220"/>
      <c r="G70" s="100"/>
      <c r="H70" s="100"/>
      <c r="I70" s="379">
        <f t="shared" si="1"/>
        <v>0</v>
      </c>
      <c r="J70" s="101"/>
      <c r="K70" s="381" t="str">
        <f>IF(B70="","",IF(J70=1,Data!$K$2,IF(J70=0,Data!$K$5,Data!$K$3)))</f>
        <v/>
      </c>
      <c r="L70" s="383" t="str">
        <f ca="1">IF(H70="","",IF(B70="","",IF(K70=Data!$K$2,"",IF(H70&lt;TODAY(),"!",""))))</f>
        <v/>
      </c>
    </row>
    <row r="71" spans="1:12" ht="27" customHeight="1">
      <c r="B71" s="510"/>
      <c r="C71" s="510"/>
      <c r="D71" s="511"/>
      <c r="E71" s="512"/>
      <c r="F71" s="220"/>
      <c r="G71" s="100"/>
      <c r="H71" s="100"/>
      <c r="I71" s="379">
        <f t="shared" si="1"/>
        <v>0</v>
      </c>
      <c r="J71" s="101"/>
      <c r="K71" s="381" t="str">
        <f>IF(B71="","",IF(J71=1,Data!$K$2,IF(J71=0,Data!$K$5,Data!$K$3)))</f>
        <v/>
      </c>
      <c r="L71" s="383" t="str">
        <f ca="1">IF(H71="","",IF(B71="","",IF(K71=Data!$K$2,"",IF(H71&lt;TODAY(),"!",""))))</f>
        <v/>
      </c>
    </row>
    <row r="72" spans="1:12" ht="27" customHeight="1">
      <c r="B72" s="510"/>
      <c r="C72" s="510"/>
      <c r="D72" s="511"/>
      <c r="E72" s="512"/>
      <c r="F72" s="220"/>
      <c r="G72" s="100"/>
      <c r="H72" s="100"/>
      <c r="I72" s="379">
        <f t="shared" si="1"/>
        <v>0</v>
      </c>
      <c r="J72" s="101"/>
      <c r="K72" s="381" t="str">
        <f>IF(B72="","",IF(J72=1,Data!$K$2,IF(J72=0,Data!$K$5,Data!$K$3)))</f>
        <v/>
      </c>
      <c r="L72" s="383" t="str">
        <f ca="1">IF(H72="","",IF(B72="","",IF(K72=Data!$K$2,"",IF(H72&lt;TODAY(),"!",""))))</f>
        <v/>
      </c>
    </row>
    <row r="73" spans="1:12" ht="27" customHeight="1">
      <c r="B73" s="510"/>
      <c r="C73" s="510"/>
      <c r="D73" s="511"/>
      <c r="E73" s="512"/>
      <c r="F73" s="220"/>
      <c r="G73" s="100"/>
      <c r="H73" s="100"/>
      <c r="I73" s="379">
        <f t="shared" si="1"/>
        <v>0</v>
      </c>
      <c r="J73" s="101"/>
      <c r="K73" s="381" t="str">
        <f>IF(B73="","",IF(J73=1,Data!$K$2,IF(J73=0,Data!$K$5,Data!$K$3)))</f>
        <v/>
      </c>
      <c r="L73" s="383" t="str">
        <f ca="1">IF(H73="","",IF(B73="","",IF(K73=Data!$K$2,"",IF(H73&lt;TODAY(),"!",""))))</f>
        <v/>
      </c>
    </row>
    <row r="74" spans="1:12" ht="27" customHeight="1">
      <c r="B74" s="510"/>
      <c r="C74" s="510"/>
      <c r="D74" s="511"/>
      <c r="E74" s="512"/>
      <c r="F74" s="220"/>
      <c r="G74" s="100"/>
      <c r="H74" s="100"/>
      <c r="I74" s="379">
        <f t="shared" si="1"/>
        <v>0</v>
      </c>
      <c r="J74" s="101"/>
      <c r="K74" s="381" t="str">
        <f>IF(B74="","",IF(J74=1,Data!$K$2,IF(J74=0,Data!$K$5,Data!$K$3)))</f>
        <v/>
      </c>
      <c r="L74" s="383" t="str">
        <f ca="1">IF(H74="","",IF(B74="","",IF(K74=Data!$K$2,"",IF(H74&lt;TODAY(),"!",""))))</f>
        <v/>
      </c>
    </row>
    <row r="75" spans="1:12" ht="27" customHeight="1">
      <c r="B75" s="510"/>
      <c r="C75" s="510"/>
      <c r="D75" s="511"/>
      <c r="E75" s="512"/>
      <c r="F75" s="220"/>
      <c r="G75" s="100"/>
      <c r="H75" s="100"/>
      <c r="I75" s="379">
        <f t="shared" si="1"/>
        <v>0</v>
      </c>
      <c r="J75" s="101"/>
      <c r="K75" s="381" t="str">
        <f>IF(B75="","",IF(J75=1,Data!$K$2,IF(J75=0,Data!$K$5,Data!$K$3)))</f>
        <v/>
      </c>
      <c r="L75" s="383" t="str">
        <f ca="1">IF(H75="","",IF(B75="","",IF(K75=Data!$K$2,"",IF(H75&lt;TODAY(),"!",""))))</f>
        <v/>
      </c>
    </row>
    <row r="76" spans="1:12" ht="27" customHeight="1">
      <c r="B76" s="510"/>
      <c r="C76" s="510"/>
      <c r="D76" s="511"/>
      <c r="E76" s="512"/>
      <c r="F76" s="220"/>
      <c r="G76" s="100"/>
      <c r="H76" s="100"/>
      <c r="I76" s="379">
        <f t="shared" si="1"/>
        <v>0</v>
      </c>
      <c r="J76" s="101"/>
      <c r="K76" s="381" t="str">
        <f>IF(B76="","",IF(J76=1,Data!$K$2,IF(J76=0,Data!$K$5,Data!$K$3)))</f>
        <v/>
      </c>
      <c r="L76" s="383" t="str">
        <f ca="1">IF(H76="","",IF(B76="","",IF(K76=Data!$K$2,"",IF(H76&lt;TODAY(),"!",""))))</f>
        <v/>
      </c>
    </row>
    <row r="77" spans="1:12" ht="27" customHeight="1">
      <c r="B77" s="510"/>
      <c r="C77" s="510"/>
      <c r="D77" s="511"/>
      <c r="E77" s="512"/>
      <c r="F77" s="220"/>
      <c r="G77" s="100"/>
      <c r="H77" s="100"/>
      <c r="I77" s="379">
        <f t="shared" ref="I77:I111" si="2">IFERROR(H77-G77,0)</f>
        <v>0</v>
      </c>
      <c r="J77" s="101"/>
      <c r="K77" s="381" t="str">
        <f>IF(B77="","",IF(J77=1,Data!$K$2,IF(J77=0,Data!$K$5,Data!$K$3)))</f>
        <v/>
      </c>
      <c r="L77" s="383" t="str">
        <f ca="1">IF(H77="","",IF(B77="","",IF(K77=Data!$K$2,"",IF(H77&lt;TODAY(),"!",""))))</f>
        <v/>
      </c>
    </row>
    <row r="78" spans="1:12" ht="27" customHeight="1">
      <c r="B78" s="510"/>
      <c r="C78" s="510"/>
      <c r="D78" s="511"/>
      <c r="E78" s="512"/>
      <c r="F78" s="220"/>
      <c r="G78" s="100"/>
      <c r="H78" s="100"/>
      <c r="I78" s="379">
        <f t="shared" si="2"/>
        <v>0</v>
      </c>
      <c r="J78" s="101"/>
      <c r="K78" s="381" t="str">
        <f>IF(B78="","",IF(J78=1,Data!$K$2,IF(J78=0,Data!$K$5,Data!$K$3)))</f>
        <v/>
      </c>
      <c r="L78" s="383" t="str">
        <f ca="1">IF(H78="","",IF(B78="","",IF(K78=Data!$K$2,"",IF(H78&lt;TODAY(),"!",""))))</f>
        <v/>
      </c>
    </row>
    <row r="79" spans="1:12" ht="27" customHeight="1">
      <c r="B79" s="510"/>
      <c r="C79" s="510"/>
      <c r="D79" s="511"/>
      <c r="E79" s="512"/>
      <c r="F79" s="220"/>
      <c r="G79" s="100"/>
      <c r="H79" s="100"/>
      <c r="I79" s="379">
        <f t="shared" si="2"/>
        <v>0</v>
      </c>
      <c r="J79" s="101"/>
      <c r="K79" s="381" t="str">
        <f>IF(B79="","",IF(J79=1,Data!$K$2,IF(J79=0,Data!$K$5,Data!$K$3)))</f>
        <v/>
      </c>
      <c r="L79" s="383" t="str">
        <f ca="1">IF(H79="","",IF(B79="","",IF(K79=Data!$K$2,"",IF(H79&lt;TODAY(),"!",""))))</f>
        <v/>
      </c>
    </row>
    <row r="80" spans="1:12" ht="27" customHeight="1">
      <c r="B80" s="510"/>
      <c r="C80" s="510"/>
      <c r="D80" s="511"/>
      <c r="E80" s="512"/>
      <c r="F80" s="220"/>
      <c r="G80" s="100"/>
      <c r="H80" s="100"/>
      <c r="I80" s="379">
        <f t="shared" si="2"/>
        <v>0</v>
      </c>
      <c r="J80" s="101"/>
      <c r="K80" s="381" t="str">
        <f>IF(B80="","",IF(J80=1,Data!$K$2,IF(J80=0,Data!$K$5,Data!$K$3)))</f>
        <v/>
      </c>
      <c r="L80" s="383" t="str">
        <f ca="1">IF(H80="","",IF(B80="","",IF(K80=Data!$K$2,"",IF(H80&lt;TODAY(),"!",""))))</f>
        <v/>
      </c>
    </row>
    <row r="81" spans="2:12" ht="27" customHeight="1">
      <c r="B81" s="510"/>
      <c r="C81" s="510"/>
      <c r="D81" s="511"/>
      <c r="E81" s="512"/>
      <c r="F81" s="220"/>
      <c r="G81" s="100"/>
      <c r="H81" s="100"/>
      <c r="I81" s="379">
        <f t="shared" si="2"/>
        <v>0</v>
      </c>
      <c r="J81" s="101"/>
      <c r="K81" s="381" t="str">
        <f>IF(B81="","",IF(J81=1,Data!$K$2,IF(J81=0,Data!$K$5,Data!$K$3)))</f>
        <v/>
      </c>
      <c r="L81" s="383" t="str">
        <f ca="1">IF(H81="","",IF(B81="","",IF(K81=Data!$K$2,"",IF(H81&lt;TODAY(),"!",""))))</f>
        <v/>
      </c>
    </row>
    <row r="82" spans="2:12" ht="27" customHeight="1">
      <c r="B82" s="510"/>
      <c r="C82" s="510"/>
      <c r="D82" s="511"/>
      <c r="E82" s="512"/>
      <c r="F82" s="220"/>
      <c r="G82" s="100"/>
      <c r="H82" s="100"/>
      <c r="I82" s="379">
        <f t="shared" si="2"/>
        <v>0</v>
      </c>
      <c r="J82" s="101"/>
      <c r="K82" s="381" t="str">
        <f>IF(B82="","",IF(J82=1,Data!$K$2,IF(J82=0,Data!$K$5,Data!$K$3)))</f>
        <v/>
      </c>
      <c r="L82" s="383" t="str">
        <f ca="1">IF(H82="","",IF(B82="","",IF(K82=Data!$K$2,"",IF(H82&lt;TODAY(),"!",""))))</f>
        <v/>
      </c>
    </row>
    <row r="83" spans="2:12" ht="27" customHeight="1">
      <c r="B83" s="510"/>
      <c r="C83" s="510"/>
      <c r="D83" s="511"/>
      <c r="E83" s="512"/>
      <c r="F83" s="220"/>
      <c r="G83" s="100"/>
      <c r="H83" s="100"/>
      <c r="I83" s="379">
        <f t="shared" si="2"/>
        <v>0</v>
      </c>
      <c r="J83" s="101"/>
      <c r="K83" s="381" t="str">
        <f>IF(B83="","",IF(J83=1,Data!$K$2,IF(J83=0,Data!$K$5,Data!$K$3)))</f>
        <v/>
      </c>
      <c r="L83" s="383" t="str">
        <f ca="1">IF(H83="","",IF(B83="","",IF(K83=Data!$K$2,"",IF(H83&lt;TODAY(),"!",""))))</f>
        <v/>
      </c>
    </row>
    <row r="84" spans="2:12" ht="27" customHeight="1">
      <c r="B84" s="510"/>
      <c r="C84" s="510"/>
      <c r="D84" s="511"/>
      <c r="E84" s="512"/>
      <c r="F84" s="220"/>
      <c r="G84" s="100"/>
      <c r="H84" s="100"/>
      <c r="I84" s="379">
        <f t="shared" si="2"/>
        <v>0</v>
      </c>
      <c r="J84" s="101"/>
      <c r="K84" s="381" t="str">
        <f>IF(B84="","",IF(J84=1,Data!$K$2,IF(J84=0,Data!$K$5,Data!$K$3)))</f>
        <v/>
      </c>
      <c r="L84" s="383" t="str">
        <f ca="1">IF(H84="","",IF(B84="","",IF(K84=Data!$K$2,"",IF(H84&lt;TODAY(),"!",""))))</f>
        <v/>
      </c>
    </row>
    <row r="85" spans="2:12" ht="27" customHeight="1">
      <c r="B85" s="510"/>
      <c r="C85" s="510"/>
      <c r="D85" s="511"/>
      <c r="E85" s="512"/>
      <c r="F85" s="220"/>
      <c r="G85" s="100"/>
      <c r="H85" s="100"/>
      <c r="I85" s="379">
        <f t="shared" si="2"/>
        <v>0</v>
      </c>
      <c r="J85" s="101"/>
      <c r="K85" s="381" t="str">
        <f>IF(B85="","",IF(J85=1,Data!$K$2,IF(J85=0,Data!$K$5,Data!$K$3)))</f>
        <v/>
      </c>
      <c r="L85" s="383" t="str">
        <f ca="1">IF(H85="","",IF(B85="","",IF(K85=Data!$K$2,"",IF(H85&lt;TODAY(),"!",""))))</f>
        <v/>
      </c>
    </row>
    <row r="86" spans="2:12" ht="27" customHeight="1">
      <c r="B86" s="510"/>
      <c r="C86" s="510"/>
      <c r="D86" s="511"/>
      <c r="E86" s="512"/>
      <c r="F86" s="220"/>
      <c r="G86" s="100"/>
      <c r="H86" s="100"/>
      <c r="I86" s="379">
        <f t="shared" si="2"/>
        <v>0</v>
      </c>
      <c r="J86" s="101"/>
      <c r="K86" s="381" t="str">
        <f>IF(B86="","",IF(J86=1,Data!$K$2,IF(J86=0,Data!$K$5,Data!$K$3)))</f>
        <v/>
      </c>
      <c r="L86" s="383" t="str">
        <f ca="1">IF(H86="","",IF(B86="","",IF(K86=Data!$K$2,"",IF(H86&lt;TODAY(),"!",""))))</f>
        <v/>
      </c>
    </row>
    <row r="87" spans="2:12" ht="27" customHeight="1">
      <c r="B87" s="510"/>
      <c r="C87" s="510"/>
      <c r="D87" s="511"/>
      <c r="E87" s="512"/>
      <c r="F87" s="220"/>
      <c r="G87" s="100"/>
      <c r="H87" s="100"/>
      <c r="I87" s="379">
        <f t="shared" si="2"/>
        <v>0</v>
      </c>
      <c r="J87" s="101"/>
      <c r="K87" s="381" t="str">
        <f>IF(B87="","",IF(J87=1,Data!$K$2,IF(J87=0,Data!$K$5,Data!$K$3)))</f>
        <v/>
      </c>
      <c r="L87" s="383" t="str">
        <f ca="1">IF(H87="","",IF(B87="","",IF(K87=Data!$K$2,"",IF(H87&lt;TODAY(),"!",""))))</f>
        <v/>
      </c>
    </row>
    <row r="88" spans="2:12" ht="27" customHeight="1">
      <c r="B88" s="510"/>
      <c r="C88" s="510"/>
      <c r="D88" s="511"/>
      <c r="E88" s="512"/>
      <c r="F88" s="220"/>
      <c r="G88" s="100"/>
      <c r="H88" s="100"/>
      <c r="I88" s="379">
        <f t="shared" si="2"/>
        <v>0</v>
      </c>
      <c r="J88" s="101"/>
      <c r="K88" s="381" t="str">
        <f>IF(B88="","",IF(J88=1,Data!$K$2,IF(J88=0,Data!$K$5,Data!$K$3)))</f>
        <v/>
      </c>
      <c r="L88" s="383" t="str">
        <f ca="1">IF(H88="","",IF(B88="","",IF(K88=Data!$K$2,"",IF(H88&lt;TODAY(),"!",""))))</f>
        <v/>
      </c>
    </row>
    <row r="89" spans="2:12" ht="27" customHeight="1">
      <c r="B89" s="510"/>
      <c r="C89" s="510"/>
      <c r="D89" s="511"/>
      <c r="E89" s="512"/>
      <c r="F89" s="220"/>
      <c r="G89" s="100"/>
      <c r="H89" s="100"/>
      <c r="I89" s="379">
        <f t="shared" si="2"/>
        <v>0</v>
      </c>
      <c r="J89" s="101"/>
      <c r="K89" s="381" t="str">
        <f>IF(B89="","",IF(J89=1,Data!$K$2,IF(J89=0,Data!$K$5,Data!$K$3)))</f>
        <v/>
      </c>
      <c r="L89" s="383" t="str">
        <f ca="1">IF(H89="","",IF(B89="","",IF(K89=Data!$K$2,"",IF(H89&lt;TODAY(),"!",""))))</f>
        <v/>
      </c>
    </row>
    <row r="90" spans="2:12" ht="27" customHeight="1">
      <c r="B90" s="510"/>
      <c r="C90" s="510"/>
      <c r="D90" s="511"/>
      <c r="E90" s="512"/>
      <c r="F90" s="220"/>
      <c r="G90" s="100"/>
      <c r="H90" s="100"/>
      <c r="I90" s="379">
        <f t="shared" si="2"/>
        <v>0</v>
      </c>
      <c r="J90" s="101"/>
      <c r="K90" s="381" t="str">
        <f>IF(B90="","",IF(J90=1,Data!$K$2,IF(J90=0,Data!$K$5,Data!$K$3)))</f>
        <v/>
      </c>
      <c r="L90" s="383" t="str">
        <f ca="1">IF(H90="","",IF(B90="","",IF(K90=Data!$K$2,"",IF(H90&lt;TODAY(),"!",""))))</f>
        <v/>
      </c>
    </row>
    <row r="91" spans="2:12" ht="27" customHeight="1">
      <c r="B91" s="510"/>
      <c r="C91" s="510"/>
      <c r="D91" s="511"/>
      <c r="E91" s="512"/>
      <c r="F91" s="220"/>
      <c r="G91" s="100"/>
      <c r="H91" s="100"/>
      <c r="I91" s="379">
        <f t="shared" si="2"/>
        <v>0</v>
      </c>
      <c r="J91" s="101"/>
      <c r="K91" s="381" t="str">
        <f>IF(B91="","",IF(J91=1,Data!$K$2,IF(J91=0,Data!$K$5,Data!$K$3)))</f>
        <v/>
      </c>
      <c r="L91" s="383" t="str">
        <f ca="1">IF(H91="","",IF(B91="","",IF(K91=Data!$K$2,"",IF(H91&lt;TODAY(),"!",""))))</f>
        <v/>
      </c>
    </row>
    <row r="92" spans="2:12" ht="27" customHeight="1">
      <c r="B92" s="510"/>
      <c r="C92" s="510"/>
      <c r="D92" s="511"/>
      <c r="E92" s="512"/>
      <c r="F92" s="220"/>
      <c r="G92" s="100"/>
      <c r="H92" s="100"/>
      <c r="I92" s="379">
        <f t="shared" si="2"/>
        <v>0</v>
      </c>
      <c r="J92" s="101"/>
      <c r="K92" s="381" t="str">
        <f>IF(B92="","",IF(J92=1,Data!$K$2,IF(J92=0,Data!$K$5,Data!$K$3)))</f>
        <v/>
      </c>
      <c r="L92" s="383" t="str">
        <f ca="1">IF(H92="","",IF(B92="","",IF(K92=Data!$K$2,"",IF(H92&lt;TODAY(),"!",""))))</f>
        <v/>
      </c>
    </row>
    <row r="93" spans="2:12" ht="27" customHeight="1">
      <c r="B93" s="510"/>
      <c r="C93" s="510"/>
      <c r="D93" s="511"/>
      <c r="E93" s="512"/>
      <c r="F93" s="220"/>
      <c r="G93" s="100"/>
      <c r="H93" s="100"/>
      <c r="I93" s="379">
        <f t="shared" si="2"/>
        <v>0</v>
      </c>
      <c r="J93" s="101"/>
      <c r="K93" s="381" t="str">
        <f>IF(B93="","",IF(J93=1,Data!$K$2,IF(J93=0,Data!$K$5,Data!$K$3)))</f>
        <v/>
      </c>
      <c r="L93" s="383" t="str">
        <f ca="1">IF(H93="","",IF(B93="","",IF(K93=Data!$K$2,"",IF(H93&lt;TODAY(),"!",""))))</f>
        <v/>
      </c>
    </row>
    <row r="94" spans="2:12" ht="27" customHeight="1">
      <c r="B94" s="510"/>
      <c r="C94" s="510"/>
      <c r="D94" s="511"/>
      <c r="E94" s="512"/>
      <c r="F94" s="220"/>
      <c r="G94" s="100"/>
      <c r="H94" s="100"/>
      <c r="I94" s="379">
        <f t="shared" si="2"/>
        <v>0</v>
      </c>
      <c r="J94" s="101"/>
      <c r="K94" s="381" t="str">
        <f>IF(B94="","",IF(J94=1,Data!$K$2,IF(J94=0,Data!$K$5,Data!$K$3)))</f>
        <v/>
      </c>
      <c r="L94" s="383" t="str">
        <f ca="1">IF(H94="","",IF(B94="","",IF(K94=Data!$K$2,"",IF(H94&lt;TODAY(),"!",""))))</f>
        <v/>
      </c>
    </row>
    <row r="95" spans="2:12" ht="27" customHeight="1">
      <c r="B95" s="510"/>
      <c r="C95" s="510"/>
      <c r="D95" s="511"/>
      <c r="E95" s="512"/>
      <c r="F95" s="220"/>
      <c r="G95" s="100"/>
      <c r="H95" s="100"/>
      <c r="I95" s="379">
        <f t="shared" si="2"/>
        <v>0</v>
      </c>
      <c r="J95" s="101"/>
      <c r="K95" s="381" t="str">
        <f>IF(B95="","",IF(J95=1,Data!$K$2,IF(J95=0,Data!$K$5,Data!$K$3)))</f>
        <v/>
      </c>
      <c r="L95" s="383" t="str">
        <f ca="1">IF(H95="","",IF(B95="","",IF(K95=Data!$K$2,"",IF(H95&lt;TODAY(),"!",""))))</f>
        <v/>
      </c>
    </row>
    <row r="96" spans="2:12" ht="27" customHeight="1">
      <c r="B96" s="510"/>
      <c r="C96" s="510"/>
      <c r="D96" s="511"/>
      <c r="E96" s="512"/>
      <c r="F96" s="220"/>
      <c r="G96" s="100"/>
      <c r="H96" s="100"/>
      <c r="I96" s="379">
        <f t="shared" si="2"/>
        <v>0</v>
      </c>
      <c r="J96" s="101"/>
      <c r="K96" s="381" t="str">
        <f>IF(B96="","",IF(J96=1,Data!$K$2,IF(J96=0,Data!$K$5,Data!$K$3)))</f>
        <v/>
      </c>
      <c r="L96" s="383" t="str">
        <f ca="1">IF(H96="","",IF(B96="","",IF(K96=Data!$K$2,"",IF(H96&lt;TODAY(),"!",""))))</f>
        <v/>
      </c>
    </row>
    <row r="97" spans="2:12" ht="27" customHeight="1">
      <c r="B97" s="510"/>
      <c r="C97" s="510"/>
      <c r="D97" s="511"/>
      <c r="E97" s="512"/>
      <c r="F97" s="220"/>
      <c r="G97" s="100"/>
      <c r="H97" s="100"/>
      <c r="I97" s="379">
        <f t="shared" si="2"/>
        <v>0</v>
      </c>
      <c r="J97" s="101"/>
      <c r="K97" s="381" t="str">
        <f>IF(B97="","",IF(J97=1,Data!$K$2,IF(J97=0,Data!$K$5,Data!$K$3)))</f>
        <v/>
      </c>
      <c r="L97" s="383" t="str">
        <f ca="1">IF(H97="","",IF(B97="","",IF(K97=Data!$K$2,"",IF(H97&lt;TODAY(),"!",""))))</f>
        <v/>
      </c>
    </row>
    <row r="98" spans="2:12" ht="27" customHeight="1">
      <c r="B98" s="510"/>
      <c r="C98" s="510"/>
      <c r="D98" s="511"/>
      <c r="E98" s="512"/>
      <c r="F98" s="220"/>
      <c r="G98" s="100"/>
      <c r="H98" s="100"/>
      <c r="I98" s="379">
        <f t="shared" si="2"/>
        <v>0</v>
      </c>
      <c r="J98" s="101"/>
      <c r="K98" s="381" t="str">
        <f>IF(B98="","",IF(J98=1,Data!$K$2,IF(J98=0,Data!$K$5,Data!$K$3)))</f>
        <v/>
      </c>
      <c r="L98" s="383" t="str">
        <f ca="1">IF(H98="","",IF(B98="","",IF(K98=Data!$K$2,"",IF(H98&lt;TODAY(),"!",""))))</f>
        <v/>
      </c>
    </row>
    <row r="99" spans="2:12" ht="27" customHeight="1">
      <c r="B99" s="510"/>
      <c r="C99" s="510"/>
      <c r="D99" s="511"/>
      <c r="E99" s="512"/>
      <c r="F99" s="220"/>
      <c r="G99" s="100"/>
      <c r="H99" s="100"/>
      <c r="I99" s="379">
        <f t="shared" si="2"/>
        <v>0</v>
      </c>
      <c r="J99" s="101"/>
      <c r="K99" s="381" t="str">
        <f>IF(B99="","",IF(J99=1,Data!$K$2,IF(J99=0,Data!$K$5,Data!$K$3)))</f>
        <v/>
      </c>
      <c r="L99" s="383" t="str">
        <f ca="1">IF(H99="","",IF(B99="","",IF(K99=Data!$K$2,"",IF(H99&lt;TODAY(),"!",""))))</f>
        <v/>
      </c>
    </row>
    <row r="100" spans="2:12" ht="27" customHeight="1">
      <c r="B100" s="510"/>
      <c r="C100" s="510"/>
      <c r="D100" s="511"/>
      <c r="E100" s="512"/>
      <c r="F100" s="220"/>
      <c r="G100" s="100"/>
      <c r="H100" s="100"/>
      <c r="I100" s="379">
        <f t="shared" si="2"/>
        <v>0</v>
      </c>
      <c r="J100" s="101"/>
      <c r="K100" s="381" t="str">
        <f>IF(B100="","",IF(J100=1,Data!$K$2,IF(J100=0,Data!$K$5,Data!$K$3)))</f>
        <v/>
      </c>
      <c r="L100" s="383" t="str">
        <f ca="1">IF(H100="","",IF(B100="","",IF(K100=Data!$K$2,"",IF(H100&lt;TODAY(),"!",""))))</f>
        <v/>
      </c>
    </row>
    <row r="101" spans="2:12" ht="27" customHeight="1">
      <c r="B101" s="510"/>
      <c r="C101" s="510"/>
      <c r="D101" s="511"/>
      <c r="E101" s="512"/>
      <c r="F101" s="220"/>
      <c r="G101" s="100"/>
      <c r="H101" s="100"/>
      <c r="I101" s="379">
        <f t="shared" si="2"/>
        <v>0</v>
      </c>
      <c r="J101" s="101"/>
      <c r="K101" s="381" t="str">
        <f>IF(B101="","",IF(J101=1,Data!$K$2,IF(J101=0,Data!$K$5,Data!$K$3)))</f>
        <v/>
      </c>
      <c r="L101" s="383" t="str">
        <f ca="1">IF(H101="","",IF(B101="","",IF(K101=Data!$K$2,"",IF(H101&lt;TODAY(),"!",""))))</f>
        <v/>
      </c>
    </row>
    <row r="102" spans="2:12" ht="27" customHeight="1">
      <c r="B102" s="510"/>
      <c r="C102" s="510"/>
      <c r="D102" s="511"/>
      <c r="E102" s="512"/>
      <c r="F102" s="220"/>
      <c r="G102" s="100"/>
      <c r="H102" s="100"/>
      <c r="I102" s="379">
        <f t="shared" si="2"/>
        <v>0</v>
      </c>
      <c r="J102" s="101"/>
      <c r="K102" s="381" t="str">
        <f>IF(B102="","",IF(J102=1,Data!$K$2,IF(J102=0,Data!$K$5,Data!$K$3)))</f>
        <v/>
      </c>
      <c r="L102" s="383" t="str">
        <f ca="1">IF(H102="","",IF(B102="","",IF(K102=Data!$K$2,"",IF(H102&lt;TODAY(),"!",""))))</f>
        <v/>
      </c>
    </row>
    <row r="103" spans="2:12" ht="27" customHeight="1">
      <c r="B103" s="510"/>
      <c r="C103" s="510"/>
      <c r="D103" s="511"/>
      <c r="E103" s="512"/>
      <c r="F103" s="220"/>
      <c r="G103" s="100"/>
      <c r="H103" s="100"/>
      <c r="I103" s="379">
        <f t="shared" si="2"/>
        <v>0</v>
      </c>
      <c r="J103" s="101"/>
      <c r="K103" s="381" t="str">
        <f>IF(B103="","",IF(J103=1,Data!$K$2,IF(J103=0,Data!$K$5,Data!$K$3)))</f>
        <v/>
      </c>
      <c r="L103" s="383" t="str">
        <f ca="1">IF(H103="","",IF(B103="","",IF(K103=Data!$K$2,"",IF(H103&lt;TODAY(),"!",""))))</f>
        <v/>
      </c>
    </row>
    <row r="104" spans="2:12" ht="27" customHeight="1">
      <c r="B104" s="510"/>
      <c r="C104" s="510"/>
      <c r="D104" s="511"/>
      <c r="E104" s="512"/>
      <c r="F104" s="220"/>
      <c r="G104" s="100"/>
      <c r="H104" s="100"/>
      <c r="I104" s="379">
        <f t="shared" si="2"/>
        <v>0</v>
      </c>
      <c r="J104" s="101"/>
      <c r="K104" s="381" t="str">
        <f>IF(B104="","",IF(J104=1,Data!$K$2,IF(J104=0,Data!$K$5,Data!$K$3)))</f>
        <v/>
      </c>
      <c r="L104" s="383" t="str">
        <f ca="1">IF(H104="","",IF(B104="","",IF(K104=Data!$K$2,"",IF(H104&lt;TODAY(),"!",""))))</f>
        <v/>
      </c>
    </row>
    <row r="105" spans="2:12" ht="27" customHeight="1">
      <c r="B105" s="510"/>
      <c r="C105" s="510"/>
      <c r="D105" s="511"/>
      <c r="E105" s="512"/>
      <c r="F105" s="220"/>
      <c r="G105" s="100"/>
      <c r="H105" s="100"/>
      <c r="I105" s="379">
        <f t="shared" si="2"/>
        <v>0</v>
      </c>
      <c r="J105" s="101"/>
      <c r="K105" s="381" t="str">
        <f>IF(B105="","",IF(J105=1,Data!$K$2,IF(J105=0,Data!$K$5,Data!$K$3)))</f>
        <v/>
      </c>
      <c r="L105" s="383" t="str">
        <f ca="1">IF(H105="","",IF(B105="","",IF(K105=Data!$K$2,"",IF(H105&lt;TODAY(),"!",""))))</f>
        <v/>
      </c>
    </row>
    <row r="106" spans="2:12" ht="27" customHeight="1">
      <c r="B106" s="510"/>
      <c r="C106" s="510"/>
      <c r="D106" s="511"/>
      <c r="E106" s="512"/>
      <c r="F106" s="220"/>
      <c r="G106" s="100"/>
      <c r="H106" s="100"/>
      <c r="I106" s="379">
        <f t="shared" si="2"/>
        <v>0</v>
      </c>
      <c r="J106" s="101"/>
      <c r="K106" s="381" t="str">
        <f>IF(B106="","",IF(J106=1,Data!$K$2,IF(J106=0,Data!$K$5,Data!$K$3)))</f>
        <v/>
      </c>
      <c r="L106" s="383" t="str">
        <f ca="1">IF(H106="","",IF(B106="","",IF(K106=Data!$K$2,"",IF(H106&lt;TODAY(),"!",""))))</f>
        <v/>
      </c>
    </row>
    <row r="107" spans="2:12" ht="27" customHeight="1">
      <c r="B107" s="510"/>
      <c r="C107" s="510"/>
      <c r="D107" s="511"/>
      <c r="E107" s="512"/>
      <c r="F107" s="220"/>
      <c r="G107" s="100"/>
      <c r="H107" s="100"/>
      <c r="I107" s="379">
        <f t="shared" si="2"/>
        <v>0</v>
      </c>
      <c r="J107" s="101"/>
      <c r="K107" s="381" t="str">
        <f>IF(B107="","",IF(J107=1,Data!$K$2,IF(J107=0,Data!$K$5,Data!$K$3)))</f>
        <v/>
      </c>
      <c r="L107" s="383" t="str">
        <f ca="1">IF(H107="","",IF(B107="","",IF(K107=Data!$K$2,"",IF(H107&lt;TODAY(),"!",""))))</f>
        <v/>
      </c>
    </row>
    <row r="108" spans="2:12" ht="27" customHeight="1">
      <c r="B108" s="510"/>
      <c r="C108" s="510"/>
      <c r="D108" s="511"/>
      <c r="E108" s="512"/>
      <c r="F108" s="220"/>
      <c r="G108" s="100"/>
      <c r="H108" s="100"/>
      <c r="I108" s="379">
        <f t="shared" si="2"/>
        <v>0</v>
      </c>
      <c r="J108" s="101"/>
      <c r="K108" s="381" t="str">
        <f>IF(B108="","",IF(J108=1,Data!$K$2,IF(J108=0,Data!$K$5,Data!$K$3)))</f>
        <v/>
      </c>
      <c r="L108" s="383" t="str">
        <f ca="1">IF(H108="","",IF(B108="","",IF(K108=Data!$K$2,"",IF(H108&lt;TODAY(),"!",""))))</f>
        <v/>
      </c>
    </row>
    <row r="109" spans="2:12" ht="27" customHeight="1">
      <c r="B109" s="510"/>
      <c r="C109" s="510"/>
      <c r="D109" s="511"/>
      <c r="E109" s="512"/>
      <c r="F109" s="220"/>
      <c r="G109" s="100"/>
      <c r="H109" s="100"/>
      <c r="I109" s="379">
        <f t="shared" si="2"/>
        <v>0</v>
      </c>
      <c r="J109" s="101"/>
      <c r="K109" s="381" t="str">
        <f>IF(B109="","",IF(J109=1,Data!$K$2,IF(J109=0,Data!$K$5,Data!$K$3)))</f>
        <v/>
      </c>
      <c r="L109" s="383" t="str">
        <f ca="1">IF(H109="","",IF(B109="","",IF(K109=Data!$K$2,"",IF(H109&lt;TODAY(),"!",""))))</f>
        <v/>
      </c>
    </row>
    <row r="110" spans="2:12" ht="27" customHeight="1">
      <c r="B110" s="510"/>
      <c r="C110" s="510"/>
      <c r="D110" s="511"/>
      <c r="E110" s="512"/>
      <c r="F110" s="220"/>
      <c r="G110" s="100"/>
      <c r="H110" s="100"/>
      <c r="I110" s="379">
        <f t="shared" si="2"/>
        <v>0</v>
      </c>
      <c r="J110" s="101"/>
      <c r="K110" s="381" t="str">
        <f>IF(B110="","",IF(J110=1,Data!$K$2,IF(J110=0,Data!$K$5,Data!$K$3)))</f>
        <v/>
      </c>
      <c r="L110" s="383" t="str">
        <f ca="1">IF(H110="","",IF(B110="","",IF(K110=Data!$K$2,"",IF(H110&lt;TODAY(),"!",""))))</f>
        <v/>
      </c>
    </row>
    <row r="111" spans="2:12" ht="27" customHeight="1">
      <c r="B111" s="510"/>
      <c r="C111" s="510"/>
      <c r="D111" s="511"/>
      <c r="E111" s="512"/>
      <c r="F111" s="221"/>
      <c r="G111" s="102"/>
      <c r="H111" s="102"/>
      <c r="I111" s="380">
        <f t="shared" si="2"/>
        <v>0</v>
      </c>
      <c r="J111" s="103"/>
      <c r="K111" s="381" t="str">
        <f>IF(B111="","",IF(J111=1,Data!$K$2,IF(J111=0,Data!$K$5,Data!$K$3)))</f>
        <v/>
      </c>
      <c r="L111" s="383" t="str">
        <f ca="1">IF(H111="","",IF(B111="","",IF(K111=Data!$K$2,"",IF(H111&lt;TODAY(),"!",""))))</f>
        <v/>
      </c>
    </row>
  </sheetData>
  <sheetProtection formatCells="0" formatColumns="0" formatRows="0" selectLockedCells="1" sort="0" autoFilter="0" pivotTables="0"/>
  <autoFilter ref="B11:L11" xr:uid="{31CBBD9D-BF3E-4139-9330-9ED4394B507E}">
    <filterColumn colId="0" showButton="0"/>
    <filterColumn colId="2" showButton="0"/>
  </autoFilter>
  <mergeCells count="204">
    <mergeCell ref="D11:E11"/>
    <mergeCell ref="B11:C11"/>
    <mergeCell ref="B12:C12"/>
    <mergeCell ref="D12:E12"/>
    <mergeCell ref="D13:E13"/>
    <mergeCell ref="D111:E111"/>
    <mergeCell ref="D110:E110"/>
    <mergeCell ref="D105:E105"/>
    <mergeCell ref="D106:E106"/>
    <mergeCell ref="D107:E107"/>
    <mergeCell ref="D108:E108"/>
    <mergeCell ref="D109:E109"/>
    <mergeCell ref="D14:E14"/>
    <mergeCell ref="D15:E15"/>
    <mergeCell ref="D22:E22"/>
    <mergeCell ref="D23:E23"/>
    <mergeCell ref="D24:E24"/>
    <mergeCell ref="D25:E25"/>
    <mergeCell ref="D26:E26"/>
    <mergeCell ref="D27:E27"/>
    <mergeCell ref="D16:E16"/>
    <mergeCell ref="D17:E17"/>
    <mergeCell ref="D18:E18"/>
    <mergeCell ref="D19:E19"/>
    <mergeCell ref="D20:E20"/>
    <mergeCell ref="D21:E21"/>
    <mergeCell ref="D34:E34"/>
    <mergeCell ref="D35:E35"/>
    <mergeCell ref="D36:E36"/>
    <mergeCell ref="D37:E37"/>
    <mergeCell ref="D38:E38"/>
    <mergeCell ref="D39:E39"/>
    <mergeCell ref="D28:E28"/>
    <mergeCell ref="D29:E29"/>
    <mergeCell ref="D30:E30"/>
    <mergeCell ref="D31:E31"/>
    <mergeCell ref="D32:E32"/>
    <mergeCell ref="D33:E33"/>
    <mergeCell ref="D46:E46"/>
    <mergeCell ref="D47:E47"/>
    <mergeCell ref="D48:E48"/>
    <mergeCell ref="D49:E49"/>
    <mergeCell ref="D50:E50"/>
    <mergeCell ref="D51:E51"/>
    <mergeCell ref="D40:E40"/>
    <mergeCell ref="D41:E41"/>
    <mergeCell ref="D42:E42"/>
    <mergeCell ref="D43:E43"/>
    <mergeCell ref="D44:E44"/>
    <mergeCell ref="D45:E45"/>
    <mergeCell ref="D58:E58"/>
    <mergeCell ref="D59:E59"/>
    <mergeCell ref="D60:E60"/>
    <mergeCell ref="D61:E61"/>
    <mergeCell ref="D62:E62"/>
    <mergeCell ref="D63:E63"/>
    <mergeCell ref="D52:E52"/>
    <mergeCell ref="D53:E53"/>
    <mergeCell ref="D54:E54"/>
    <mergeCell ref="D55:E55"/>
    <mergeCell ref="D56:E56"/>
    <mergeCell ref="D57:E57"/>
    <mergeCell ref="D70:E70"/>
    <mergeCell ref="D71:E71"/>
    <mergeCell ref="D72:E72"/>
    <mergeCell ref="D73:E73"/>
    <mergeCell ref="D74:E74"/>
    <mergeCell ref="D75:E75"/>
    <mergeCell ref="D64:E64"/>
    <mergeCell ref="D65:E65"/>
    <mergeCell ref="D66:E66"/>
    <mergeCell ref="D67:E67"/>
    <mergeCell ref="D68:E68"/>
    <mergeCell ref="D69:E69"/>
    <mergeCell ref="D84:E84"/>
    <mergeCell ref="D85:E85"/>
    <mergeCell ref="D86:E86"/>
    <mergeCell ref="D87:E87"/>
    <mergeCell ref="D76:E76"/>
    <mergeCell ref="D77:E77"/>
    <mergeCell ref="D78:E78"/>
    <mergeCell ref="D79:E79"/>
    <mergeCell ref="D80:E80"/>
    <mergeCell ref="D81:E81"/>
    <mergeCell ref="D100:E100"/>
    <mergeCell ref="D101:E101"/>
    <mergeCell ref="D102:E102"/>
    <mergeCell ref="D103:E103"/>
    <mergeCell ref="D104:E104"/>
    <mergeCell ref="B13:C13"/>
    <mergeCell ref="B14:C14"/>
    <mergeCell ref="B15:C15"/>
    <mergeCell ref="B16:C16"/>
    <mergeCell ref="B17:C17"/>
    <mergeCell ref="D94:E94"/>
    <mergeCell ref="D95:E95"/>
    <mergeCell ref="D96:E96"/>
    <mergeCell ref="D97:E97"/>
    <mergeCell ref="D98:E98"/>
    <mergeCell ref="D99:E99"/>
    <mergeCell ref="D88:E88"/>
    <mergeCell ref="D89:E89"/>
    <mergeCell ref="D90:E90"/>
    <mergeCell ref="D91:E91"/>
    <mergeCell ref="D92:E92"/>
    <mergeCell ref="D93:E93"/>
    <mergeCell ref="D82:E82"/>
    <mergeCell ref="D83:E83"/>
    <mergeCell ref="B24:C24"/>
    <mergeCell ref="B25:C25"/>
    <mergeCell ref="B26:C26"/>
    <mergeCell ref="B27:C27"/>
    <mergeCell ref="B28:C28"/>
    <mergeCell ref="B29:C29"/>
    <mergeCell ref="B18:C18"/>
    <mergeCell ref="B19:C19"/>
    <mergeCell ref="B20:C20"/>
    <mergeCell ref="B21:C21"/>
    <mergeCell ref="B22:C22"/>
    <mergeCell ref="B23:C23"/>
    <mergeCell ref="B36:C36"/>
    <mergeCell ref="B37:C37"/>
    <mergeCell ref="B38:C38"/>
    <mergeCell ref="B39:C39"/>
    <mergeCell ref="B40:C40"/>
    <mergeCell ref="B41:C41"/>
    <mergeCell ref="B30:C30"/>
    <mergeCell ref="B31:C31"/>
    <mergeCell ref="B32:C32"/>
    <mergeCell ref="B33:C33"/>
    <mergeCell ref="B34:C34"/>
    <mergeCell ref="B35:C35"/>
    <mergeCell ref="B48:C48"/>
    <mergeCell ref="B49:C49"/>
    <mergeCell ref="B50:C50"/>
    <mergeCell ref="B51:C51"/>
    <mergeCell ref="B52:C52"/>
    <mergeCell ref="B53:C53"/>
    <mergeCell ref="B42:C42"/>
    <mergeCell ref="B43:C43"/>
    <mergeCell ref="B44:C44"/>
    <mergeCell ref="B45:C45"/>
    <mergeCell ref="B46:C46"/>
    <mergeCell ref="B47:C47"/>
    <mergeCell ref="B60:C60"/>
    <mergeCell ref="B61:C61"/>
    <mergeCell ref="B62:C62"/>
    <mergeCell ref="B63:C63"/>
    <mergeCell ref="B64:C64"/>
    <mergeCell ref="B65:C65"/>
    <mergeCell ref="B54:C54"/>
    <mergeCell ref="B55:C55"/>
    <mergeCell ref="B56:C56"/>
    <mergeCell ref="B57:C57"/>
    <mergeCell ref="B58:C58"/>
    <mergeCell ref="B59:C59"/>
    <mergeCell ref="B72:C72"/>
    <mergeCell ref="B73:C73"/>
    <mergeCell ref="B74:C74"/>
    <mergeCell ref="B75:C75"/>
    <mergeCell ref="B76:C76"/>
    <mergeCell ref="B77:C77"/>
    <mergeCell ref="B66:C66"/>
    <mergeCell ref="B67:C67"/>
    <mergeCell ref="B68:C68"/>
    <mergeCell ref="B69:C69"/>
    <mergeCell ref="B70:C70"/>
    <mergeCell ref="B71:C71"/>
    <mergeCell ref="B84:C84"/>
    <mergeCell ref="B85:C85"/>
    <mergeCell ref="B86:C86"/>
    <mergeCell ref="B87:C87"/>
    <mergeCell ref="B88:C88"/>
    <mergeCell ref="B89:C89"/>
    <mergeCell ref="B78:C78"/>
    <mergeCell ref="B79:C79"/>
    <mergeCell ref="B80:C80"/>
    <mergeCell ref="B81:C81"/>
    <mergeCell ref="B82:C82"/>
    <mergeCell ref="B83:C83"/>
    <mergeCell ref="K8:L9"/>
    <mergeCell ref="K7:L7"/>
    <mergeCell ref="B108:C108"/>
    <mergeCell ref="B109:C109"/>
    <mergeCell ref="B110:C110"/>
    <mergeCell ref="B111:C111"/>
    <mergeCell ref="B102:C102"/>
    <mergeCell ref="B103:C103"/>
    <mergeCell ref="B104:C104"/>
    <mergeCell ref="B105:C105"/>
    <mergeCell ref="B106:C106"/>
    <mergeCell ref="B107:C107"/>
    <mergeCell ref="B96:C96"/>
    <mergeCell ref="B97:C97"/>
    <mergeCell ref="B98:C98"/>
    <mergeCell ref="B99:C99"/>
    <mergeCell ref="B100:C100"/>
    <mergeCell ref="B101:C101"/>
    <mergeCell ref="B90:C90"/>
    <mergeCell ref="B91:C91"/>
    <mergeCell ref="B92:C92"/>
    <mergeCell ref="B93:C93"/>
    <mergeCell ref="B94:C94"/>
    <mergeCell ref="B95:C95"/>
  </mergeCells>
  <phoneticPr fontId="31" type="noConversion"/>
  <conditionalFormatting sqref="B10:G10">
    <cfRule type="expression" dxfId="212" priority="1">
      <formula>B$10=""</formula>
    </cfRule>
  </conditionalFormatting>
  <conditionalFormatting sqref="L12:L111">
    <cfRule type="expression" dxfId="208" priority="2">
      <formula>$L12="!"</formula>
    </cfRule>
  </conditionalFormatting>
  <dataValidations count="2">
    <dataValidation type="list" allowBlank="1" showInputMessage="1" showErrorMessage="1" sqref="F12:F111" xr:uid="{A917FF8F-32B4-4D4A-AAED-5EC53A7C9238}">
      <formula1>DRangeEmployee</formula1>
    </dataValidation>
    <dataValidation type="list" allowBlank="1" showInputMessage="1" showErrorMessage="1" sqref="D12:E111" xr:uid="{1EB45975-A144-4609-AC48-7D411730F857}">
      <formula1>ActionPlan01</formula1>
    </dataValidation>
  </dataValidations>
  <hyperlinks>
    <hyperlink ref="B10" location="'AP1'!A1" display="'AP1'!A1" xr:uid="{06CF5FEE-9EA8-491A-9FC4-D0DB9F95CD1E}"/>
    <hyperlink ref="C10" location="'AP2'!A1" display="'AP2'!A1" xr:uid="{E0FC7300-FE3A-43AA-B04B-880B75C2D645}"/>
    <hyperlink ref="D10" location="'AP3'!A1" display="'AP3'!A1" xr:uid="{61D14BEA-1465-4696-9143-05CF84777412}"/>
    <hyperlink ref="E10" location="'AP4'!A1" display="'AP4'!A1" xr:uid="{E4E95C57-9C4D-41D8-AB6D-48EC5C663336}"/>
    <hyperlink ref="F10" location="'AP5'!A1" display="'AP5'!A1" xr:uid="{30459BBD-1B6F-4D88-8645-A98DD5AC2FD6}"/>
    <hyperlink ref="G10" location="'AP6'!A1" display="'AP6'!A1" xr:uid="{069A7458-7F15-421C-9BC9-5FFC78211F0D}"/>
  </hyperlinks>
  <pageMargins left="0.25" right="0.25" top="0.75" bottom="0.75" header="0.3" footer="0.3"/>
  <pageSetup scale="77"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 id="{69E3EF95-A723-44C7-8D2F-2C42A1C74657}">
            <xm:f>$K12=Data!$K$5</xm:f>
            <x14:dxf>
              <font>
                <color theme="1" tint="0.24994659260841701"/>
              </font>
              <fill>
                <patternFill>
                  <bgColor theme="0" tint="-4.9989318521683403E-2"/>
                </patternFill>
              </fill>
            </x14:dxf>
          </x14:cfRule>
          <x14:cfRule type="expression" priority="7" id="{2B2AE9DE-3621-410A-AC54-F2B0A700D4B3}">
            <xm:f>$K12=Data!$K$3</xm:f>
            <x14:dxf>
              <font>
                <color theme="0"/>
              </font>
              <fill>
                <patternFill>
                  <bgColor rgb="FFF2C80F"/>
                </patternFill>
              </fill>
            </x14:dxf>
          </x14:cfRule>
          <x14:cfRule type="expression" priority="8" id="{8C2BCB7A-AD8C-4769-A8DB-5FFF0DF357C7}">
            <xm:f>$K12=Data!$K$2</xm:f>
            <x14:dxf>
              <font>
                <color theme="0"/>
              </font>
              <fill>
                <patternFill>
                  <bgColor rgb="FF55B03E"/>
                </patternFill>
              </fill>
            </x14:dxf>
          </x14:cfRule>
          <xm:sqref>K12:K111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S46"/>
  <sheetViews>
    <sheetView showGridLines="0" showRowColHeaders="0" zoomScale="134" zoomScaleNormal="134" workbookViewId="0">
      <selection activeCell="H1" sqref="H1"/>
    </sheetView>
  </sheetViews>
  <sheetFormatPr baseColWidth="10" defaultColWidth="9.1640625" defaultRowHeight="15"/>
  <cols>
    <col min="1" max="1" width="2.6640625" style="252" customWidth="1"/>
    <col min="2" max="2" width="32.5" style="252" customWidth="1"/>
    <col min="3" max="5" width="20.6640625" style="252" customWidth="1"/>
    <col min="6" max="6" width="1.1640625" style="252" customWidth="1"/>
    <col min="7" max="16384" width="9.1640625" style="252"/>
  </cols>
  <sheetData>
    <row r="1" spans="1:19" s="249" customFormat="1" ht="39" customHeight="1">
      <c r="A1" s="248"/>
      <c r="B1" s="248"/>
      <c r="C1" s="248"/>
      <c r="D1" s="248"/>
      <c r="E1" s="248"/>
      <c r="F1" s="248"/>
      <c r="G1" s="248"/>
      <c r="H1" s="248"/>
      <c r="I1" s="248"/>
      <c r="J1" s="248"/>
      <c r="K1" s="248"/>
      <c r="L1" s="248"/>
      <c r="M1" s="248"/>
      <c r="N1" s="248"/>
      <c r="O1" s="248"/>
      <c r="P1" s="248"/>
      <c r="Q1" s="248"/>
      <c r="R1" s="248"/>
      <c r="S1" s="248"/>
    </row>
    <row r="2" spans="1:19" s="250" customFormat="1" ht="25" customHeight="1"/>
    <row r="3" spans="1:19" s="251" customFormat="1" ht="18" customHeight="1"/>
    <row r="4" spans="1:19" s="251" customFormat="1" ht="18" customHeight="1"/>
    <row r="5" spans="1:19" s="251" customFormat="1" ht="20" customHeight="1"/>
    <row r="6" spans="1:19" ht="20" customHeight="1"/>
    <row r="7" spans="1:19" ht="20" customHeight="1">
      <c r="B7" s="260" t="str">
        <f>Lan!F11</f>
        <v>1. AJUSTES</v>
      </c>
    </row>
    <row r="8" spans="1:19" ht="20" hidden="1" customHeight="1">
      <c r="B8" s="151"/>
    </row>
    <row r="9" spans="1:19" ht="20" hidden="1" customHeight="1">
      <c r="B9" s="455" t="str">
        <f>Lan!F24</f>
        <v>-</v>
      </c>
      <c r="C9" s="460" t="s">
        <v>182</v>
      </c>
    </row>
    <row r="10" spans="1:19" ht="20" customHeight="1">
      <c r="B10" s="451"/>
      <c r="C10" s="278"/>
    </row>
    <row r="11" spans="1:19" ht="20" customHeight="1">
      <c r="B11" s="455" t="str">
        <f>Lan!F25</f>
        <v>Mes de inicio</v>
      </c>
      <c r="C11" s="454" t="s">
        <v>11</v>
      </c>
    </row>
    <row r="12" spans="1:19" ht="20" customHeight="1">
      <c r="B12" s="451"/>
    </row>
    <row r="13" spans="1:19" ht="20" customHeight="1">
      <c r="B13" s="455" t="str">
        <f>Lan!F28</f>
        <v>Año</v>
      </c>
      <c r="C13" s="454">
        <v>2025</v>
      </c>
    </row>
    <row r="14" spans="1:19" ht="20" customHeight="1">
      <c r="B14" s="451"/>
    </row>
    <row r="15" spans="1:19" ht="20" customHeight="1">
      <c r="B15" s="455" t="str">
        <f>Lan!F26</f>
        <v>Nombre de empresa</v>
      </c>
      <c r="C15" s="465" t="s">
        <v>323</v>
      </c>
      <c r="D15" s="465"/>
      <c r="E15" s="465"/>
    </row>
    <row r="16" spans="1:19" ht="20" customHeight="1">
      <c r="B16" s="451"/>
    </row>
    <row r="17" spans="2:9" ht="20" customHeight="1">
      <c r="B17" s="455" t="str">
        <f>Lan!F27</f>
        <v>Eslogan de la empresa</v>
      </c>
      <c r="C17" s="465" t="s">
        <v>324</v>
      </c>
      <c r="D17" s="465"/>
      <c r="E17" s="465"/>
    </row>
    <row r="18" spans="2:9" ht="20" customHeight="1">
      <c r="B18" s="253"/>
      <c r="C18" s="254"/>
      <c r="D18" s="254"/>
      <c r="E18" s="254"/>
      <c r="F18" s="254"/>
      <c r="G18" s="254"/>
      <c r="H18" s="254"/>
      <c r="I18" s="254"/>
    </row>
    <row r="19" spans="2:9" ht="20" customHeight="1">
      <c r="B19" s="151"/>
      <c r="C19" s="151"/>
      <c r="D19" s="151"/>
    </row>
    <row r="20" spans="2:9" ht="20" customHeight="1">
      <c r="B20" s="244" t="str">
        <f>Lan!F19</f>
        <v>KPI's | Indicadores</v>
      </c>
      <c r="C20" s="149"/>
      <c r="D20" s="149"/>
      <c r="E20" s="456"/>
      <c r="F20" s="456"/>
      <c r="G20" s="453"/>
      <c r="H20" s="453"/>
      <c r="I20" s="453"/>
    </row>
    <row r="21" spans="2:9" ht="20" customHeight="1">
      <c r="B21" s="261" t="str">
        <f>Lan!F14</f>
        <v>Elija sus reglas de destino para seleccionar iconos de color</v>
      </c>
      <c r="C21" s="262"/>
      <c r="D21" s="262"/>
      <c r="E21" s="255"/>
      <c r="F21" s="256"/>
    </row>
    <row r="22" spans="2:9" ht="20" customHeight="1">
      <c r="B22" s="51" t="s">
        <v>115</v>
      </c>
      <c r="C22" s="52" t="str">
        <f>Lan!F15</f>
        <v>Si el valor es</v>
      </c>
      <c r="D22" s="53" t="s">
        <v>116</v>
      </c>
      <c r="E22" s="452">
        <v>0.9</v>
      </c>
      <c r="F22" s="257"/>
    </row>
    <row r="23" spans="2:9" ht="20" customHeight="1">
      <c r="B23" s="57" t="s">
        <v>115</v>
      </c>
      <c r="C23" s="59">
        <f>E22</f>
        <v>0.9</v>
      </c>
      <c r="D23" s="53"/>
      <c r="E23" s="58"/>
      <c r="F23" s="257"/>
    </row>
    <row r="24" spans="2:9" ht="8.5" customHeight="1">
      <c r="B24" s="54"/>
      <c r="C24" s="55"/>
      <c r="D24" s="56"/>
      <c r="E24" s="258"/>
      <c r="F24" s="259"/>
    </row>
    <row r="25" spans="2:9" ht="20" customHeight="1">
      <c r="B25" s="151"/>
      <c r="C25" s="151"/>
      <c r="D25" s="151"/>
    </row>
    <row r="26" spans="2:9" ht="20" customHeight="1">
      <c r="B26" s="243" t="str">
        <f>Lan!F20</f>
        <v>Progreso del plan de acción</v>
      </c>
      <c r="C26" s="151"/>
      <c r="D26" s="151"/>
    </row>
    <row r="27" spans="2:9" ht="20" customHeight="1">
      <c r="B27" s="261" t="s">
        <v>133</v>
      </c>
      <c r="C27" s="262"/>
      <c r="D27" s="262"/>
      <c r="E27" s="255"/>
      <c r="F27" s="256"/>
    </row>
    <row r="28" spans="2:9" ht="20" customHeight="1">
      <c r="B28" s="51" t="s">
        <v>115</v>
      </c>
      <c r="C28" s="52" t="str">
        <f>Lan!F15</f>
        <v>Si el valor es</v>
      </c>
      <c r="D28" s="53" t="s">
        <v>116</v>
      </c>
      <c r="E28" s="452">
        <v>1</v>
      </c>
      <c r="F28" s="257"/>
    </row>
    <row r="29" spans="2:9" ht="20" customHeight="1">
      <c r="B29" s="82" t="s">
        <v>115</v>
      </c>
      <c r="C29" s="59">
        <f>E28</f>
        <v>1</v>
      </c>
      <c r="D29" s="53" t="s">
        <v>116</v>
      </c>
      <c r="E29" s="452">
        <v>0.7</v>
      </c>
      <c r="F29" s="257"/>
    </row>
    <row r="30" spans="2:9" ht="20" customHeight="1">
      <c r="B30" s="54" t="s">
        <v>115</v>
      </c>
      <c r="C30" s="55">
        <f>E29</f>
        <v>0.7</v>
      </c>
      <c r="D30" s="56"/>
      <c r="E30" s="258"/>
      <c r="F30" s="259"/>
    </row>
    <row r="31" spans="2:9" ht="20" customHeight="1">
      <c r="B31" s="151"/>
      <c r="C31" s="151"/>
      <c r="D31" s="151"/>
    </row>
    <row r="32" spans="2:9" ht="20" customHeight="1"/>
    <row r="33" ht="20" customHeight="1"/>
    <row r="34" ht="20" customHeight="1"/>
    <row r="35" ht="20" customHeight="1"/>
    <row r="36" ht="20" customHeight="1"/>
    <row r="37" ht="20" customHeight="1"/>
    <row r="38" ht="20" customHeight="1"/>
    <row r="39" ht="20" customHeight="1"/>
    <row r="40" ht="20" customHeight="1"/>
    <row r="41" ht="20" customHeight="1"/>
    <row r="42" ht="20" customHeight="1"/>
    <row r="43" ht="20" customHeight="1"/>
    <row r="44" ht="20" customHeight="1"/>
    <row r="45" ht="20" customHeight="1"/>
    <row r="46" ht="20" customHeight="1"/>
  </sheetData>
  <sheetProtection formatCells="0" formatColumns="0" formatRows="0" selectLockedCells="1" sort="0" autoFilter="0" pivotTables="0"/>
  <mergeCells count="2">
    <mergeCell ref="C15:E15"/>
    <mergeCell ref="C17:E17"/>
  </mergeCells>
  <dataValidations count="2">
    <dataValidation type="list" allowBlank="1" showInputMessage="1" showErrorMessage="1" sqref="C9" xr:uid="{00000000-0002-0000-0000-000000000000}">
      <formula1>language</formula1>
    </dataValidation>
    <dataValidation type="list" allowBlank="1" showInputMessage="1" showErrorMessage="1" sqref="C11" xr:uid="{00000000-0002-0000-0000-000001000000}">
      <formula1>month</formula1>
    </dataValidation>
  </dataValidations>
  <pageMargins left="0.7" right="0.7" top="0.75" bottom="0.75" header="0.3" footer="0.3"/>
  <pageSetup scale="7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DA27A-CE1A-46C3-8319-9594718660AA}">
  <dimension ref="A1:S111"/>
  <sheetViews>
    <sheetView showGridLines="0" showRowColHeaders="0" zoomScaleNormal="100" workbookViewId="0">
      <selection activeCell="B10" sqref="B10"/>
    </sheetView>
  </sheetViews>
  <sheetFormatPr baseColWidth="10" defaultColWidth="8.83203125" defaultRowHeight="15"/>
  <cols>
    <col min="1" max="1" width="2.6640625" style="290" customWidth="1"/>
    <col min="2" max="5" width="25.6640625" style="438" customWidth="1"/>
    <col min="6" max="6" width="30.6640625" style="438" customWidth="1"/>
    <col min="7" max="8" width="20.6640625" style="369" customWidth="1"/>
    <col min="9" max="9" width="16.6640625" style="369" hidden="1" customWidth="1"/>
    <col min="10" max="10" width="16.6640625" style="369" customWidth="1"/>
    <col min="11" max="11" width="14.6640625" style="369" customWidth="1"/>
    <col min="12" max="12" width="12.6640625" style="273" customWidth="1"/>
    <col min="13" max="16384" width="8.83203125" style="273"/>
  </cols>
  <sheetData>
    <row r="1" spans="1:19" s="249" customFormat="1" ht="39" customHeight="1">
      <c r="A1" s="248"/>
      <c r="B1" s="248"/>
      <c r="C1" s="248"/>
      <c r="D1" s="248"/>
      <c r="E1" s="248"/>
      <c r="F1" s="248"/>
      <c r="G1" s="248"/>
      <c r="H1" s="248"/>
      <c r="I1" s="248"/>
      <c r="J1" s="248"/>
      <c r="K1" s="248"/>
      <c r="L1" s="248"/>
      <c r="M1" s="248"/>
      <c r="N1" s="248"/>
      <c r="O1" s="248"/>
      <c r="P1" s="248"/>
      <c r="Q1" s="248"/>
      <c r="R1" s="248"/>
      <c r="S1" s="248"/>
    </row>
    <row r="2" spans="1:19" s="308" customFormat="1" ht="25" customHeight="1"/>
    <row r="3" spans="1:19" s="287" customFormat="1" ht="18" customHeight="1"/>
    <row r="4" spans="1:19" s="287" customFormat="1" ht="18" customHeight="1"/>
    <row r="5" spans="1:19" s="287" customFormat="1" ht="20" customHeight="1"/>
    <row r="6" spans="1:19" s="281" customFormat="1" ht="20" customHeight="1">
      <c r="A6" s="355"/>
      <c r="G6" s="278"/>
      <c r="H6" s="278"/>
      <c r="I6" s="278"/>
      <c r="J6" s="278"/>
      <c r="K6" s="278"/>
    </row>
    <row r="7" spans="1:19" s="281" customFormat="1" ht="20" customHeight="1">
      <c r="A7" s="355"/>
      <c r="B7" s="303" t="str">
        <f>Lan!F62&amp;" - "&amp;Goals!C13</f>
        <v>2.5. Plan de acción - Mejorar la productividad de los procesos operativos en planta.</v>
      </c>
      <c r="C7" s="359"/>
      <c r="D7" s="359"/>
      <c r="E7" s="359"/>
      <c r="F7" s="359"/>
      <c r="G7" s="359"/>
      <c r="H7" s="439"/>
      <c r="I7" s="439"/>
      <c r="J7" s="439"/>
      <c r="K7" s="514" t="str">
        <f>Lan!F69</f>
        <v>% Progreso</v>
      </c>
      <c r="L7" s="514"/>
      <c r="M7" s="425"/>
    </row>
    <row r="8" spans="1:19" s="281" customFormat="1" ht="20" customHeight="1">
      <c r="A8" s="355"/>
      <c r="B8" s="320" t="str">
        <f>Lan!F44</f>
        <v>Los objetivos proporcionan hitos específicos con un cronograma específico para lograr una meta.</v>
      </c>
      <c r="C8" s="362"/>
      <c r="D8" s="362"/>
      <c r="E8" s="362"/>
      <c r="F8" s="440"/>
      <c r="G8" s="441"/>
      <c r="H8" s="441"/>
      <c r="I8" s="442"/>
      <c r="J8" s="441"/>
      <c r="K8" s="507">
        <f>IFERROR(AVERAGE(J12:J111),0)</f>
        <v>0</v>
      </c>
      <c r="L8" s="508"/>
      <c r="M8" s="425"/>
    </row>
    <row r="9" spans="1:19" s="281" customFormat="1" ht="20" customHeight="1" thickBot="1">
      <c r="A9" s="355"/>
      <c r="B9" s="371"/>
      <c r="C9" s="371"/>
      <c r="D9" s="371"/>
      <c r="E9" s="371"/>
      <c r="F9" s="371"/>
      <c r="G9" s="370"/>
      <c r="H9" s="370"/>
      <c r="I9" s="370"/>
      <c r="J9" s="370"/>
      <c r="K9" s="508"/>
      <c r="L9" s="508"/>
    </row>
    <row r="10" spans="1:19" s="281" customFormat="1" ht="20" customHeight="1" thickTop="1" thickBot="1">
      <c r="A10" s="355"/>
      <c r="B10" s="419" t="str">
        <f>IF(Goals!C12="","",Goals!B12)</f>
        <v>Meta 1</v>
      </c>
      <c r="C10" s="420" t="str">
        <f>IF(Goals!C13="","",Goals!B13)</f>
        <v>Meta 2</v>
      </c>
      <c r="D10" s="419" t="str">
        <f>IF(Goals!C14="","",Goals!B14)</f>
        <v>Meta 3</v>
      </c>
      <c r="E10" s="419" t="str">
        <f>IF(Goals!C15="","",Goals!B15)</f>
        <v>Meta 4</v>
      </c>
      <c r="F10" s="419" t="str">
        <f>IF(Goals!C16="","",Goals!B16)</f>
        <v>Meta 5</v>
      </c>
      <c r="G10" s="419" t="str">
        <f>IF(Goals!C17="","",Goals!B17)</f>
        <v>Meta 6</v>
      </c>
      <c r="H10" s="53"/>
      <c r="I10" s="53"/>
      <c r="J10" s="370"/>
      <c r="K10" s="370"/>
      <c r="L10" s="371"/>
    </row>
    <row r="11" spans="1:19" s="281" customFormat="1" ht="30" customHeight="1" thickTop="1" thickBot="1">
      <c r="A11" s="355"/>
      <c r="B11" s="513" t="str">
        <f>Lan!$F$63</f>
        <v>Paso de acción</v>
      </c>
      <c r="C11" s="513"/>
      <c r="D11" s="516" t="str">
        <f>Lan!$F$64</f>
        <v>Objetivo asociado</v>
      </c>
      <c r="E11" s="516"/>
      <c r="F11" s="283" t="str">
        <f>Lan!$F$65</f>
        <v>Gerentes</v>
      </c>
      <c r="G11" s="283" t="str">
        <f>Lan!$F$67</f>
        <v>Fecha de inicio</v>
      </c>
      <c r="H11" s="376" t="str">
        <f>Lan!$F$68</f>
        <v>Fecha de vencimiento</v>
      </c>
      <c r="I11" s="377" t="str">
        <f>Lan!F75</f>
        <v>Hora de completar una tarea</v>
      </c>
      <c r="J11" s="376" t="str">
        <f>Lan!$F$69</f>
        <v>% Progreso</v>
      </c>
      <c r="K11" s="376" t="str">
        <f>Lan!$F$70</f>
        <v>Status</v>
      </c>
      <c r="L11" s="376" t="str">
        <f>Data!K4</f>
        <v>Atrasado</v>
      </c>
    </row>
    <row r="12" spans="1:19" s="281" customFormat="1" ht="27" customHeight="1">
      <c r="A12" s="355"/>
      <c r="B12" s="510" t="s">
        <v>357</v>
      </c>
      <c r="C12" s="510"/>
      <c r="D12" s="510" t="s">
        <v>341</v>
      </c>
      <c r="E12" s="510"/>
      <c r="F12" s="218" t="s">
        <v>353</v>
      </c>
      <c r="G12" s="426">
        <v>45901</v>
      </c>
      <c r="H12" s="426">
        <v>45930</v>
      </c>
      <c r="I12" s="443">
        <f>IFERROR(H12-G12,0)</f>
        <v>29</v>
      </c>
      <c r="J12" s="428">
        <v>0</v>
      </c>
      <c r="K12" s="446" t="str">
        <f>IF(B12="","",IF(J12=1,Data!$K$2,IF(J12=0,Data!$K$5,Data!$K$3)))</f>
        <v>No iniciado</v>
      </c>
      <c r="L12" s="447" t="str">
        <f ca="1">IF(H12="","",IF(B12="","",IF(K12=Data!$K$2,"",IF(H12&lt;TODAY(),"!",""))))</f>
        <v/>
      </c>
    </row>
    <row r="13" spans="1:19" s="281" customFormat="1" ht="27" customHeight="1">
      <c r="A13" s="355"/>
      <c r="B13" s="510"/>
      <c r="C13" s="510"/>
      <c r="D13" s="510"/>
      <c r="E13" s="510"/>
      <c r="F13" s="218"/>
      <c r="G13" s="426"/>
      <c r="H13" s="426"/>
      <c r="I13" s="443"/>
      <c r="J13" s="429"/>
      <c r="K13" s="446" t="str">
        <f>IF(B13="","",IF(J13=1,Data!$K$2,IF(J13=0,Data!$K$5,Data!$K$3)))</f>
        <v/>
      </c>
      <c r="L13" s="448" t="str">
        <f ca="1">IF(H13="","",IF(B13="","",IF(K13=Data!$K$2,"",IF(H13&lt;TODAY(),"!",""))))</f>
        <v/>
      </c>
    </row>
    <row r="14" spans="1:19" s="281" customFormat="1" ht="27" customHeight="1">
      <c r="A14" s="355"/>
      <c r="B14" s="510"/>
      <c r="C14" s="510"/>
      <c r="D14" s="510"/>
      <c r="E14" s="510"/>
      <c r="F14" s="218"/>
      <c r="G14" s="426"/>
      <c r="H14" s="426"/>
      <c r="I14" s="443">
        <f t="shared" ref="I14:I18" si="0">IFERROR(H14-G14,0)</f>
        <v>0</v>
      </c>
      <c r="J14" s="429"/>
      <c r="K14" s="446" t="str">
        <f>IF(B14="","",IF(J14=1,Data!$K$2,IF(J14=0,Data!$K$5,Data!$K$3)))</f>
        <v/>
      </c>
      <c r="L14" s="448" t="str">
        <f ca="1">IF(H14="","",IF(B14="","",IF(K14=Data!$K$2,"",IF(H14&lt;TODAY(),"!",""))))</f>
        <v/>
      </c>
    </row>
    <row r="15" spans="1:19" s="281" customFormat="1" ht="27" customHeight="1">
      <c r="A15" s="355"/>
      <c r="B15" s="510"/>
      <c r="C15" s="510"/>
      <c r="D15" s="510"/>
      <c r="E15" s="510"/>
      <c r="F15" s="218"/>
      <c r="G15" s="426"/>
      <c r="H15" s="426"/>
      <c r="I15" s="443">
        <f t="shared" si="0"/>
        <v>0</v>
      </c>
      <c r="J15" s="429"/>
      <c r="K15" s="446" t="str">
        <f>IF(B15="","",IF(J15=1,Data!$K$2,IF(J15=0,Data!$K$5,Data!$K$3)))</f>
        <v/>
      </c>
      <c r="L15" s="448" t="str">
        <f ca="1">IF(H15="","",IF(B15="","",IF(K15=Data!$K$2,"",IF(H15&lt;TODAY(),"!",""))))</f>
        <v/>
      </c>
    </row>
    <row r="16" spans="1:19" s="281" customFormat="1" ht="27" customHeight="1">
      <c r="A16" s="355"/>
      <c r="B16" s="510"/>
      <c r="C16" s="510"/>
      <c r="D16" s="510"/>
      <c r="E16" s="510"/>
      <c r="F16" s="218"/>
      <c r="G16" s="426"/>
      <c r="H16" s="426"/>
      <c r="I16" s="443">
        <f t="shared" si="0"/>
        <v>0</v>
      </c>
      <c r="J16" s="429"/>
      <c r="K16" s="446" t="str">
        <f>IF(B16="","",IF(J16=1,Data!$K$2,IF(J16=0,Data!$K$5,Data!$K$3)))</f>
        <v/>
      </c>
      <c r="L16" s="448" t="str">
        <f ca="1">IF(H16="","",IF(B16="","",IF(K16=Data!$K$2,"",IF(H16&lt;TODAY(),"!",""))))</f>
        <v/>
      </c>
    </row>
    <row r="17" spans="1:13" s="281" customFormat="1" ht="27" customHeight="1">
      <c r="A17" s="355"/>
      <c r="B17" s="510"/>
      <c r="C17" s="510"/>
      <c r="D17" s="510"/>
      <c r="E17" s="510"/>
      <c r="F17" s="218"/>
      <c r="G17" s="426"/>
      <c r="H17" s="426"/>
      <c r="I17" s="443">
        <f t="shared" si="0"/>
        <v>0</v>
      </c>
      <c r="J17" s="429"/>
      <c r="K17" s="446" t="str">
        <f>IF(B17="","",IF(J17=1,Data!$K$2,IF(J17=0,Data!$K$5,Data!$K$3)))</f>
        <v/>
      </c>
      <c r="L17" s="448" t="str">
        <f ca="1">IF(H17="","",IF(B17="","",IF(K17=Data!$K$2,"",IF(H17&lt;TODAY(),"!",""))))</f>
        <v/>
      </c>
    </row>
    <row r="18" spans="1:13" s="281" customFormat="1" ht="27" customHeight="1">
      <c r="A18" s="355"/>
      <c r="B18" s="510"/>
      <c r="C18" s="510"/>
      <c r="D18" s="510"/>
      <c r="E18" s="510"/>
      <c r="F18" s="218"/>
      <c r="G18" s="426"/>
      <c r="H18" s="426"/>
      <c r="I18" s="443">
        <f t="shared" si="0"/>
        <v>0</v>
      </c>
      <c r="J18" s="429"/>
      <c r="K18" s="446" t="str">
        <f>IF(B18="","",IF(J18=1,Data!$K$2,IF(J18=0,Data!$K$5,Data!$K$3)))</f>
        <v/>
      </c>
      <c r="L18" s="448" t="str">
        <f ca="1">IF(H18="","",IF(B18="","",IF(K18=Data!$K$2,"",IF(H18&lt;TODAY(),"!",""))))</f>
        <v/>
      </c>
    </row>
    <row r="19" spans="1:13" s="281" customFormat="1" ht="27" customHeight="1">
      <c r="A19" s="355"/>
      <c r="B19" s="510"/>
      <c r="C19" s="510"/>
      <c r="D19" s="510"/>
      <c r="E19" s="510"/>
      <c r="F19" s="219"/>
      <c r="G19" s="426"/>
      <c r="H19" s="426"/>
      <c r="I19" s="443">
        <f>IFERROR(H19-G19,0)</f>
        <v>0</v>
      </c>
      <c r="J19" s="429"/>
      <c r="K19" s="446" t="str">
        <f>IF(B19="","",IF(J19=1,Data!$K$2,IF(J19=0,Data!$K$5,Data!$K$3)))</f>
        <v/>
      </c>
      <c r="L19" s="448" t="str">
        <f ca="1">IF(H19="","",IF(B19="","",IF(K19=Data!$K$2,"",IF(H19&lt;TODAY(),"!",""))))</f>
        <v/>
      </c>
    </row>
    <row r="20" spans="1:13" s="281" customFormat="1" ht="27" customHeight="1">
      <c r="A20" s="355"/>
      <c r="B20" s="515"/>
      <c r="C20" s="515"/>
      <c r="D20" s="510"/>
      <c r="E20" s="510"/>
      <c r="F20" s="430"/>
      <c r="G20" s="427"/>
      <c r="H20" s="427"/>
      <c r="I20" s="443">
        <f>IFERROR(H20-G20,0)</f>
        <v>0</v>
      </c>
      <c r="J20" s="429"/>
      <c r="K20" s="446" t="str">
        <f>IF(B20="","",IF(J20=1,Data!$K$2,IF(J20=0,Data!$K$5,Data!$K$3)))</f>
        <v/>
      </c>
      <c r="L20" s="448" t="str">
        <f ca="1">IF(H20="","",IF(B20="","",IF(K20=Data!$K$2,"",IF(H20&lt;TODAY(),"!",""))))</f>
        <v/>
      </c>
      <c r="M20" s="431"/>
    </row>
    <row r="21" spans="1:13" s="281" customFormat="1" ht="27" customHeight="1">
      <c r="A21" s="355"/>
      <c r="B21" s="515"/>
      <c r="C21" s="515"/>
      <c r="D21" s="510"/>
      <c r="E21" s="510"/>
      <c r="F21" s="430"/>
      <c r="G21" s="427"/>
      <c r="H21" s="427"/>
      <c r="I21" s="443">
        <f t="shared" ref="I21:I76" si="1">IFERROR(H21-G21,0)</f>
        <v>0</v>
      </c>
      <c r="J21" s="429"/>
      <c r="K21" s="446" t="str">
        <f>IF(B21="","",IF(J21=1,Data!$K$2,IF(J21=0,Data!$K$5,Data!$K$3)))</f>
        <v/>
      </c>
      <c r="L21" s="448" t="str">
        <f ca="1">IF(H21="","",IF(B21="","",IF(K21=Data!$K$2,"",IF(H21&lt;TODAY(),"!",""))))</f>
        <v/>
      </c>
    </row>
    <row r="22" spans="1:13" s="281" customFormat="1" ht="27" customHeight="1">
      <c r="A22" s="355"/>
      <c r="B22" s="515"/>
      <c r="C22" s="515"/>
      <c r="D22" s="510"/>
      <c r="E22" s="510"/>
      <c r="F22" s="430"/>
      <c r="G22" s="427"/>
      <c r="H22" s="427"/>
      <c r="I22" s="443">
        <f t="shared" si="1"/>
        <v>0</v>
      </c>
      <c r="J22" s="429"/>
      <c r="K22" s="446" t="str">
        <f>IF(B22="","",IF(J22=1,Data!$K$2,IF(J22=0,Data!$K$5,Data!$K$3)))</f>
        <v/>
      </c>
      <c r="L22" s="448" t="str">
        <f ca="1">IF(H22="","",IF(B22="","",IF(K22=Data!$K$2,"",IF(H22&lt;TODAY(),"!",""))))</f>
        <v/>
      </c>
    </row>
    <row r="23" spans="1:13" s="281" customFormat="1" ht="27" customHeight="1">
      <c r="A23" s="355"/>
      <c r="B23" s="515"/>
      <c r="C23" s="515"/>
      <c r="D23" s="510"/>
      <c r="E23" s="510"/>
      <c r="F23" s="430"/>
      <c r="G23" s="427"/>
      <c r="H23" s="427"/>
      <c r="I23" s="443">
        <f t="shared" si="1"/>
        <v>0</v>
      </c>
      <c r="J23" s="429"/>
      <c r="K23" s="446" t="str">
        <f>IF(B23="","",IF(J23=1,Data!$K$2,IF(J23=0,Data!$K$5,Data!$K$3)))</f>
        <v/>
      </c>
      <c r="L23" s="448" t="str">
        <f ca="1">IF(H23="","",IF(B23="","",IF(K23=Data!$K$2,"",IF(H23&lt;TODAY(),"!",""))))</f>
        <v/>
      </c>
    </row>
    <row r="24" spans="1:13" s="281" customFormat="1" ht="27" customHeight="1">
      <c r="A24" s="355"/>
      <c r="B24" s="515"/>
      <c r="C24" s="515"/>
      <c r="D24" s="510"/>
      <c r="E24" s="510"/>
      <c r="F24" s="430"/>
      <c r="G24" s="427"/>
      <c r="H24" s="427"/>
      <c r="I24" s="443">
        <f t="shared" si="1"/>
        <v>0</v>
      </c>
      <c r="J24" s="429"/>
      <c r="K24" s="446" t="str">
        <f>IF(B24="","",IF(J24=1,Data!$K$2,IF(J24=0,Data!$K$5,Data!$K$3)))</f>
        <v/>
      </c>
      <c r="L24" s="448" t="str">
        <f ca="1">IF(H24="","",IF(B24="","",IF(K24=Data!$K$2,"",IF(H24&lt;TODAY(),"!",""))))</f>
        <v/>
      </c>
    </row>
    <row r="25" spans="1:13" s="281" customFormat="1" ht="27" customHeight="1">
      <c r="A25" s="355"/>
      <c r="B25" s="515"/>
      <c r="C25" s="515"/>
      <c r="D25" s="510"/>
      <c r="E25" s="510"/>
      <c r="F25" s="430"/>
      <c r="G25" s="427"/>
      <c r="H25" s="427"/>
      <c r="I25" s="443">
        <f t="shared" si="1"/>
        <v>0</v>
      </c>
      <c r="J25" s="429"/>
      <c r="K25" s="446" t="str">
        <f>IF(B25="","",IF(J25=1,Data!$K$2,IF(J25=0,Data!$K$5,Data!$K$3)))</f>
        <v/>
      </c>
      <c r="L25" s="448" t="str">
        <f ca="1">IF(H25="","",IF(B25="","",IF(K25=Data!$K$2,"",IF(H25&lt;TODAY(),"!",""))))</f>
        <v/>
      </c>
    </row>
    <row r="26" spans="1:13" s="281" customFormat="1" ht="27" customHeight="1">
      <c r="A26" s="355"/>
      <c r="B26" s="515"/>
      <c r="C26" s="515"/>
      <c r="D26" s="510"/>
      <c r="E26" s="510"/>
      <c r="F26" s="430"/>
      <c r="G26" s="427"/>
      <c r="H26" s="427"/>
      <c r="I26" s="443">
        <f t="shared" si="1"/>
        <v>0</v>
      </c>
      <c r="J26" s="429"/>
      <c r="K26" s="446" t="str">
        <f>IF(B26="","",IF(J26=1,Data!$K$2,IF(J26=0,Data!$K$5,Data!$K$3)))</f>
        <v/>
      </c>
      <c r="L26" s="448" t="str">
        <f ca="1">IF(H26="","",IF(B26="","",IF(K26=Data!$K$2,"",IF(H26&lt;TODAY(),"!",""))))</f>
        <v/>
      </c>
    </row>
    <row r="27" spans="1:13" s="281" customFormat="1" ht="27" customHeight="1">
      <c r="A27" s="355"/>
      <c r="B27" s="515"/>
      <c r="C27" s="515"/>
      <c r="D27" s="510"/>
      <c r="E27" s="510"/>
      <c r="F27" s="430"/>
      <c r="G27" s="427"/>
      <c r="H27" s="427"/>
      <c r="I27" s="443">
        <f t="shared" si="1"/>
        <v>0</v>
      </c>
      <c r="J27" s="429"/>
      <c r="K27" s="446" t="str">
        <f>IF(B27="","",IF(J27=1,Data!$K$2,IF(J27=0,Data!$K$5,Data!$K$3)))</f>
        <v/>
      </c>
      <c r="L27" s="448" t="str">
        <f ca="1">IF(H27="","",IF(B27="","",IF(K27=Data!$K$2,"",IF(H27&lt;TODAY(),"!",""))))</f>
        <v/>
      </c>
    </row>
    <row r="28" spans="1:13" s="281" customFormat="1" ht="27" customHeight="1">
      <c r="A28" s="355"/>
      <c r="B28" s="515"/>
      <c r="C28" s="515"/>
      <c r="D28" s="510"/>
      <c r="E28" s="510"/>
      <c r="F28" s="430"/>
      <c r="G28" s="427"/>
      <c r="H28" s="427"/>
      <c r="I28" s="443">
        <f t="shared" si="1"/>
        <v>0</v>
      </c>
      <c r="J28" s="429"/>
      <c r="K28" s="446" t="str">
        <f>IF(B28="","",IF(J28=1,Data!$K$2,IF(J28=0,Data!$K$5,Data!$K$3)))</f>
        <v/>
      </c>
      <c r="L28" s="448" t="str">
        <f ca="1">IF(H28="","",IF(B28="","",IF(K28=Data!$K$2,"",IF(H28&lt;TODAY(),"!",""))))</f>
        <v/>
      </c>
    </row>
    <row r="29" spans="1:13" s="281" customFormat="1" ht="27" customHeight="1">
      <c r="A29" s="355"/>
      <c r="B29" s="515"/>
      <c r="C29" s="515"/>
      <c r="D29" s="510"/>
      <c r="E29" s="510"/>
      <c r="F29" s="430"/>
      <c r="G29" s="427"/>
      <c r="H29" s="427"/>
      <c r="I29" s="443">
        <f t="shared" si="1"/>
        <v>0</v>
      </c>
      <c r="J29" s="429"/>
      <c r="K29" s="446" t="str">
        <f>IF(B29="","",IF(J29=1,Data!$K$2,IF(J29=0,Data!$K$5,Data!$K$3)))</f>
        <v/>
      </c>
      <c r="L29" s="448" t="str">
        <f ca="1">IF(H29="","",IF(B29="","",IF(K29=Data!$K$2,"",IF(H29&lt;TODAY(),"!",""))))</f>
        <v/>
      </c>
    </row>
    <row r="30" spans="1:13" s="281" customFormat="1" ht="27" customHeight="1">
      <c r="A30" s="355"/>
      <c r="B30" s="515"/>
      <c r="C30" s="515"/>
      <c r="D30" s="510"/>
      <c r="E30" s="510"/>
      <c r="F30" s="430"/>
      <c r="G30" s="427"/>
      <c r="H30" s="427"/>
      <c r="I30" s="443">
        <f t="shared" si="1"/>
        <v>0</v>
      </c>
      <c r="J30" s="429"/>
      <c r="K30" s="446" t="str">
        <f>IF(B30="","",IF(J30=1,Data!$K$2,IF(J30=0,Data!$K$5,Data!$K$3)))</f>
        <v/>
      </c>
      <c r="L30" s="448" t="str">
        <f ca="1">IF(H30="","",IF(B30="","",IF(K30=Data!$K$2,"",IF(H30&lt;TODAY(),"!",""))))</f>
        <v/>
      </c>
    </row>
    <row r="31" spans="1:13" s="281" customFormat="1" ht="27" customHeight="1">
      <c r="A31" s="355"/>
      <c r="B31" s="515"/>
      <c r="C31" s="515"/>
      <c r="D31" s="510"/>
      <c r="E31" s="510"/>
      <c r="F31" s="430"/>
      <c r="G31" s="427"/>
      <c r="H31" s="427"/>
      <c r="I31" s="443">
        <f t="shared" si="1"/>
        <v>0</v>
      </c>
      <c r="J31" s="429"/>
      <c r="K31" s="446" t="str">
        <f>IF(B31="","",IF(J31=1,Data!$K$2,IF(J31=0,Data!$K$5,Data!$K$3)))</f>
        <v/>
      </c>
      <c r="L31" s="448" t="str">
        <f ca="1">IF(H31="","",IF(B31="","",IF(K31=Data!$K$2,"",IF(H31&lt;TODAY(),"!",""))))</f>
        <v/>
      </c>
    </row>
    <row r="32" spans="1:13" s="281" customFormat="1" ht="27" customHeight="1">
      <c r="A32" s="355"/>
      <c r="B32" s="515"/>
      <c r="C32" s="515"/>
      <c r="D32" s="510"/>
      <c r="E32" s="510"/>
      <c r="F32" s="430"/>
      <c r="G32" s="427"/>
      <c r="H32" s="427"/>
      <c r="I32" s="443">
        <f t="shared" si="1"/>
        <v>0</v>
      </c>
      <c r="J32" s="429"/>
      <c r="K32" s="446" t="str">
        <f>IF(B32="","",IF(J32=1,Data!$K$2,IF(J32=0,Data!$K$5,Data!$K$3)))</f>
        <v/>
      </c>
      <c r="L32" s="448" t="str">
        <f ca="1">IF(H32="","",IF(B32="","",IF(K32=Data!$K$2,"",IF(H32&lt;TODAY(),"!",""))))</f>
        <v/>
      </c>
    </row>
    <row r="33" spans="1:12" s="281" customFormat="1" ht="27" customHeight="1">
      <c r="A33" s="355"/>
      <c r="B33" s="515"/>
      <c r="C33" s="515"/>
      <c r="D33" s="510"/>
      <c r="E33" s="510"/>
      <c r="F33" s="430"/>
      <c r="G33" s="427"/>
      <c r="H33" s="427"/>
      <c r="I33" s="443">
        <f t="shared" si="1"/>
        <v>0</v>
      </c>
      <c r="J33" s="429"/>
      <c r="K33" s="446" t="str">
        <f>IF(B33="","",IF(J33=1,Data!$K$2,IF(J33=0,Data!$K$5,Data!$K$3)))</f>
        <v/>
      </c>
      <c r="L33" s="448" t="str">
        <f ca="1">IF(H33="","",IF(B33="","",IF(K33=Data!$K$2,"",IF(H33&lt;TODAY(),"!",""))))</f>
        <v/>
      </c>
    </row>
    <row r="34" spans="1:12" s="281" customFormat="1" ht="27" customHeight="1">
      <c r="A34" s="355"/>
      <c r="B34" s="515"/>
      <c r="C34" s="515"/>
      <c r="D34" s="510"/>
      <c r="E34" s="510"/>
      <c r="F34" s="430"/>
      <c r="G34" s="427"/>
      <c r="H34" s="427"/>
      <c r="I34" s="443">
        <f t="shared" si="1"/>
        <v>0</v>
      </c>
      <c r="J34" s="429"/>
      <c r="K34" s="446" t="str">
        <f>IF(B34="","",IF(J34=1,Data!$K$2,IF(J34=0,Data!$K$5,Data!$K$3)))</f>
        <v/>
      </c>
      <c r="L34" s="448" t="str">
        <f ca="1">IF(H34="","",IF(B34="","",IF(K34=Data!$K$2,"",IF(H34&lt;TODAY(),"!",""))))</f>
        <v/>
      </c>
    </row>
    <row r="35" spans="1:12" s="281" customFormat="1" ht="27" customHeight="1">
      <c r="A35" s="355"/>
      <c r="B35" s="515"/>
      <c r="C35" s="515"/>
      <c r="D35" s="510"/>
      <c r="E35" s="510"/>
      <c r="F35" s="430"/>
      <c r="G35" s="427"/>
      <c r="H35" s="427"/>
      <c r="I35" s="443">
        <f t="shared" si="1"/>
        <v>0</v>
      </c>
      <c r="J35" s="429"/>
      <c r="K35" s="446" t="str">
        <f>IF(B35="","",IF(J35=1,Data!$K$2,IF(J35=0,Data!$K$5,Data!$K$3)))</f>
        <v/>
      </c>
      <c r="L35" s="448" t="str">
        <f ca="1">IF(H35="","",IF(B35="","",IF(K35=Data!$K$2,"",IF(H35&lt;TODAY(),"!",""))))</f>
        <v/>
      </c>
    </row>
    <row r="36" spans="1:12" s="281" customFormat="1" ht="27" customHeight="1">
      <c r="A36" s="355"/>
      <c r="B36" s="515"/>
      <c r="C36" s="515"/>
      <c r="D36" s="510"/>
      <c r="E36" s="510"/>
      <c r="F36" s="430"/>
      <c r="G36" s="427"/>
      <c r="H36" s="427"/>
      <c r="I36" s="443">
        <f t="shared" si="1"/>
        <v>0</v>
      </c>
      <c r="J36" s="429"/>
      <c r="K36" s="446" t="str">
        <f>IF(B36="","",IF(J36=1,Data!$K$2,IF(J36=0,Data!$K$5,Data!$K$3)))</f>
        <v/>
      </c>
      <c r="L36" s="448" t="str">
        <f ca="1">IF(H36="","",IF(B36="","",IF(K36=Data!$K$2,"",IF(H36&lt;TODAY(),"!",""))))</f>
        <v/>
      </c>
    </row>
    <row r="37" spans="1:12" s="281" customFormat="1" ht="27" customHeight="1">
      <c r="A37" s="355"/>
      <c r="B37" s="515"/>
      <c r="C37" s="515"/>
      <c r="D37" s="510"/>
      <c r="E37" s="510"/>
      <c r="F37" s="430"/>
      <c r="G37" s="427"/>
      <c r="H37" s="427"/>
      <c r="I37" s="443">
        <f t="shared" si="1"/>
        <v>0</v>
      </c>
      <c r="J37" s="429"/>
      <c r="K37" s="446" t="str">
        <f>IF(B37="","",IF(J37=1,Data!$K$2,IF(J37=0,Data!$K$5,Data!$K$3)))</f>
        <v/>
      </c>
      <c r="L37" s="448" t="str">
        <f ca="1">IF(H37="","",IF(B37="","",IF(K37=Data!$K$2,"",IF(H37&lt;TODAY(),"!",""))))</f>
        <v/>
      </c>
    </row>
    <row r="38" spans="1:12" s="281" customFormat="1" ht="27" customHeight="1">
      <c r="A38" s="355"/>
      <c r="B38" s="515"/>
      <c r="C38" s="515"/>
      <c r="D38" s="510"/>
      <c r="E38" s="510"/>
      <c r="F38" s="430"/>
      <c r="G38" s="427"/>
      <c r="H38" s="427"/>
      <c r="I38" s="443">
        <f t="shared" si="1"/>
        <v>0</v>
      </c>
      <c r="J38" s="429"/>
      <c r="K38" s="446" t="str">
        <f>IF(B38="","",IF(J38=1,Data!$K$2,IF(J38=0,Data!$K$5,Data!$K$3)))</f>
        <v/>
      </c>
      <c r="L38" s="448" t="str">
        <f ca="1">IF(H38="","",IF(B38="","",IF(K38=Data!$K$2,"",IF(H38&lt;TODAY(),"!",""))))</f>
        <v/>
      </c>
    </row>
    <row r="39" spans="1:12" s="281" customFormat="1" ht="27" customHeight="1">
      <c r="A39" s="355"/>
      <c r="B39" s="515"/>
      <c r="C39" s="515"/>
      <c r="D39" s="510"/>
      <c r="E39" s="510"/>
      <c r="F39" s="430"/>
      <c r="G39" s="427"/>
      <c r="H39" s="427"/>
      <c r="I39" s="443">
        <f t="shared" si="1"/>
        <v>0</v>
      </c>
      <c r="J39" s="429"/>
      <c r="K39" s="446" t="str">
        <f>IF(B39="","",IF(J39=1,Data!$K$2,IF(J39=0,Data!$K$5,Data!$K$3)))</f>
        <v/>
      </c>
      <c r="L39" s="448" t="str">
        <f ca="1">IF(H39="","",IF(B39="","",IF(K39=Data!$K$2,"",IF(H39&lt;TODAY(),"!",""))))</f>
        <v/>
      </c>
    </row>
    <row r="40" spans="1:12" s="281" customFormat="1" ht="27" customHeight="1">
      <c r="A40" s="355"/>
      <c r="B40" s="515"/>
      <c r="C40" s="515"/>
      <c r="D40" s="510"/>
      <c r="E40" s="510"/>
      <c r="F40" s="430"/>
      <c r="G40" s="427"/>
      <c r="H40" s="427"/>
      <c r="I40" s="443">
        <f t="shared" si="1"/>
        <v>0</v>
      </c>
      <c r="J40" s="429"/>
      <c r="K40" s="446" t="str">
        <f>IF(B40="","",IF(J40=1,Data!$K$2,IF(J40=0,Data!$K$5,Data!$K$3)))</f>
        <v/>
      </c>
      <c r="L40" s="448" t="str">
        <f ca="1">IF(H40="","",IF(B40="","",IF(K40=Data!$K$2,"",IF(H40&lt;TODAY(),"!",""))))</f>
        <v/>
      </c>
    </row>
    <row r="41" spans="1:12" s="281" customFormat="1" ht="27" customHeight="1">
      <c r="A41" s="355"/>
      <c r="B41" s="515"/>
      <c r="C41" s="515"/>
      <c r="D41" s="510"/>
      <c r="E41" s="510"/>
      <c r="F41" s="430"/>
      <c r="G41" s="427"/>
      <c r="H41" s="427"/>
      <c r="I41" s="443">
        <f t="shared" si="1"/>
        <v>0</v>
      </c>
      <c r="J41" s="429"/>
      <c r="K41" s="446" t="str">
        <f>IF(B41="","",IF(J41=1,Data!$K$2,IF(J41=0,Data!$K$5,Data!$K$3)))</f>
        <v/>
      </c>
      <c r="L41" s="448" t="str">
        <f ca="1">IF(H41="","",IF(B41="","",IF(K41=Data!$K$2,"",IF(H41&lt;TODAY(),"!",""))))</f>
        <v/>
      </c>
    </row>
    <row r="42" spans="1:12" s="281" customFormat="1" ht="27" customHeight="1">
      <c r="A42" s="355"/>
      <c r="B42" s="515"/>
      <c r="C42" s="515"/>
      <c r="D42" s="510"/>
      <c r="E42" s="510"/>
      <c r="F42" s="430"/>
      <c r="G42" s="427"/>
      <c r="H42" s="427"/>
      <c r="I42" s="443">
        <f t="shared" si="1"/>
        <v>0</v>
      </c>
      <c r="J42" s="429"/>
      <c r="K42" s="446" t="str">
        <f>IF(B42="","",IF(J42=1,Data!$K$2,IF(J42=0,Data!$K$5,Data!$K$3)))</f>
        <v/>
      </c>
      <c r="L42" s="448" t="str">
        <f ca="1">IF(H42="","",IF(B42="","",IF(K42=Data!$K$2,"",IF(H42&lt;TODAY(),"!",""))))</f>
        <v/>
      </c>
    </row>
    <row r="43" spans="1:12" s="281" customFormat="1" ht="27" customHeight="1">
      <c r="A43" s="355"/>
      <c r="B43" s="515"/>
      <c r="C43" s="515"/>
      <c r="D43" s="510"/>
      <c r="E43" s="510"/>
      <c r="F43" s="430"/>
      <c r="G43" s="427"/>
      <c r="H43" s="427"/>
      <c r="I43" s="443">
        <f t="shared" si="1"/>
        <v>0</v>
      </c>
      <c r="J43" s="429"/>
      <c r="K43" s="446" t="str">
        <f>IF(B43="","",IF(J43=1,Data!$K$2,IF(J43=0,Data!$K$5,Data!$K$3)))</f>
        <v/>
      </c>
      <c r="L43" s="448" t="str">
        <f ca="1">IF(H43="","",IF(B43="","",IF(K43=Data!$K$2,"",IF(H43&lt;TODAY(),"!",""))))</f>
        <v/>
      </c>
    </row>
    <row r="44" spans="1:12" s="281" customFormat="1" ht="27" customHeight="1">
      <c r="A44" s="355"/>
      <c r="B44" s="515"/>
      <c r="C44" s="515"/>
      <c r="D44" s="510"/>
      <c r="E44" s="510"/>
      <c r="F44" s="430"/>
      <c r="G44" s="427"/>
      <c r="H44" s="427"/>
      <c r="I44" s="443">
        <f t="shared" si="1"/>
        <v>0</v>
      </c>
      <c r="J44" s="429"/>
      <c r="K44" s="446" t="str">
        <f>IF(B44="","",IF(J44=1,Data!$K$2,IF(J44=0,Data!$K$5,Data!$K$3)))</f>
        <v/>
      </c>
      <c r="L44" s="448" t="str">
        <f ca="1">IF(H44="","",IF(B44="","",IF(K44=Data!$K$2,"",IF(H44&lt;TODAY(),"!",""))))</f>
        <v/>
      </c>
    </row>
    <row r="45" spans="1:12" s="281" customFormat="1" ht="27" customHeight="1">
      <c r="A45" s="355"/>
      <c r="B45" s="515"/>
      <c r="C45" s="515"/>
      <c r="D45" s="510"/>
      <c r="E45" s="510"/>
      <c r="F45" s="430"/>
      <c r="G45" s="427"/>
      <c r="H45" s="427"/>
      <c r="I45" s="443">
        <f t="shared" si="1"/>
        <v>0</v>
      </c>
      <c r="J45" s="429"/>
      <c r="K45" s="446" t="str">
        <f>IF(B45="","",IF(J45=1,Data!$K$2,IF(J45=0,Data!$K$5,Data!$K$3)))</f>
        <v/>
      </c>
      <c r="L45" s="448" t="str">
        <f ca="1">IF(H45="","",IF(B45="","",IF(K45=Data!$K$2,"",IF(H45&lt;TODAY(),"!",""))))</f>
        <v/>
      </c>
    </row>
    <row r="46" spans="1:12" s="281" customFormat="1" ht="27" customHeight="1">
      <c r="A46" s="355"/>
      <c r="B46" s="515"/>
      <c r="C46" s="515"/>
      <c r="D46" s="510"/>
      <c r="E46" s="510"/>
      <c r="F46" s="430"/>
      <c r="G46" s="427"/>
      <c r="H46" s="427"/>
      <c r="I46" s="443">
        <f t="shared" si="1"/>
        <v>0</v>
      </c>
      <c r="J46" s="429"/>
      <c r="K46" s="446" t="str">
        <f>IF(B46="","",IF(J46=1,Data!$K$2,IF(J46=0,Data!$K$5,Data!$K$3)))</f>
        <v/>
      </c>
      <c r="L46" s="448" t="str">
        <f ca="1">IF(H46="","",IF(B46="","",IF(K46=Data!$K$2,"",IF(H46&lt;TODAY(),"!",""))))</f>
        <v/>
      </c>
    </row>
    <row r="47" spans="1:12" s="281" customFormat="1" ht="27" customHeight="1">
      <c r="A47" s="355"/>
      <c r="B47" s="515"/>
      <c r="C47" s="515"/>
      <c r="D47" s="510"/>
      <c r="E47" s="510"/>
      <c r="F47" s="430"/>
      <c r="G47" s="427"/>
      <c r="H47" s="427"/>
      <c r="I47" s="443">
        <f t="shared" si="1"/>
        <v>0</v>
      </c>
      <c r="J47" s="429"/>
      <c r="K47" s="446" t="str">
        <f>IF(B47="","",IF(J47=1,Data!$K$2,IF(J47=0,Data!$K$5,Data!$K$3)))</f>
        <v/>
      </c>
      <c r="L47" s="448" t="str">
        <f ca="1">IF(H47="","",IF(B47="","",IF(K47=Data!$K$2,"",IF(H47&lt;TODAY(),"!",""))))</f>
        <v/>
      </c>
    </row>
    <row r="48" spans="1:12" s="281" customFormat="1" ht="27" customHeight="1">
      <c r="A48" s="355"/>
      <c r="B48" s="515"/>
      <c r="C48" s="515"/>
      <c r="D48" s="510"/>
      <c r="E48" s="510"/>
      <c r="F48" s="430"/>
      <c r="G48" s="427"/>
      <c r="H48" s="427"/>
      <c r="I48" s="443">
        <f t="shared" si="1"/>
        <v>0</v>
      </c>
      <c r="J48" s="429"/>
      <c r="K48" s="446" t="str">
        <f>IF(B48="","",IF(J48=1,Data!$K$2,IF(J48=0,Data!$K$5,Data!$K$3)))</f>
        <v/>
      </c>
      <c r="L48" s="448" t="str">
        <f ca="1">IF(H48="","",IF(B48="","",IF(K48=Data!$K$2,"",IF(H48&lt;TODAY(),"!",""))))</f>
        <v/>
      </c>
    </row>
    <row r="49" spans="1:12" s="281" customFormat="1" ht="27" customHeight="1">
      <c r="A49" s="355"/>
      <c r="B49" s="515"/>
      <c r="C49" s="515"/>
      <c r="D49" s="510"/>
      <c r="E49" s="510"/>
      <c r="F49" s="430"/>
      <c r="G49" s="427"/>
      <c r="H49" s="427"/>
      <c r="I49" s="443">
        <f t="shared" si="1"/>
        <v>0</v>
      </c>
      <c r="J49" s="429"/>
      <c r="K49" s="446" t="str">
        <f>IF(B49="","",IF(J49=1,Data!$K$2,IF(J49=0,Data!$K$5,Data!$K$3)))</f>
        <v/>
      </c>
      <c r="L49" s="448" t="str">
        <f ca="1">IF(H49="","",IF(B49="","",IF(K49=Data!$K$2,"",IF(H49&lt;TODAY(),"!",""))))</f>
        <v/>
      </c>
    </row>
    <row r="50" spans="1:12" s="281" customFormat="1" ht="27" customHeight="1">
      <c r="A50" s="355"/>
      <c r="B50" s="515"/>
      <c r="C50" s="515"/>
      <c r="D50" s="510"/>
      <c r="E50" s="510"/>
      <c r="F50" s="430"/>
      <c r="G50" s="427"/>
      <c r="H50" s="427"/>
      <c r="I50" s="443">
        <f t="shared" si="1"/>
        <v>0</v>
      </c>
      <c r="J50" s="429"/>
      <c r="K50" s="446" t="str">
        <f>IF(B50="","",IF(J50=1,Data!$K$2,IF(J50=0,Data!$K$5,Data!$K$3)))</f>
        <v/>
      </c>
      <c r="L50" s="448" t="str">
        <f ca="1">IF(H50="","",IF(B50="","",IF(K50=Data!$K$2,"",IF(H50&lt;TODAY(),"!",""))))</f>
        <v/>
      </c>
    </row>
    <row r="51" spans="1:12" s="281" customFormat="1" ht="27" customHeight="1">
      <c r="A51" s="355"/>
      <c r="B51" s="515"/>
      <c r="C51" s="515"/>
      <c r="D51" s="510"/>
      <c r="E51" s="510"/>
      <c r="F51" s="430"/>
      <c r="G51" s="427"/>
      <c r="H51" s="427"/>
      <c r="I51" s="443">
        <f t="shared" si="1"/>
        <v>0</v>
      </c>
      <c r="J51" s="429"/>
      <c r="K51" s="446" t="str">
        <f>IF(B51="","",IF(J51=1,Data!$K$2,IF(J51=0,Data!$K$5,Data!$K$3)))</f>
        <v/>
      </c>
      <c r="L51" s="448" t="str">
        <f ca="1">IF(H51="","",IF(B51="","",IF(K51=Data!$K$2,"",IF(H51&lt;TODAY(),"!",""))))</f>
        <v/>
      </c>
    </row>
    <row r="52" spans="1:12" s="281" customFormat="1" ht="27" customHeight="1">
      <c r="A52" s="355"/>
      <c r="B52" s="515"/>
      <c r="C52" s="515"/>
      <c r="D52" s="510"/>
      <c r="E52" s="510"/>
      <c r="F52" s="430"/>
      <c r="G52" s="427"/>
      <c r="H52" s="427"/>
      <c r="I52" s="443">
        <f t="shared" si="1"/>
        <v>0</v>
      </c>
      <c r="J52" s="429"/>
      <c r="K52" s="446" t="str">
        <f>IF(B52="","",IF(J52=1,Data!$K$2,IF(J52=0,Data!$K$5,Data!$K$3)))</f>
        <v/>
      </c>
      <c r="L52" s="448" t="str">
        <f ca="1">IF(H52="","",IF(B52="","",IF(K52=Data!$K$2,"",IF(H52&lt;TODAY(),"!",""))))</f>
        <v/>
      </c>
    </row>
    <row r="53" spans="1:12" s="281" customFormat="1" ht="27" customHeight="1">
      <c r="A53" s="355"/>
      <c r="B53" s="515"/>
      <c r="C53" s="515"/>
      <c r="D53" s="510"/>
      <c r="E53" s="510"/>
      <c r="F53" s="430"/>
      <c r="G53" s="427"/>
      <c r="H53" s="427"/>
      <c r="I53" s="443">
        <f t="shared" si="1"/>
        <v>0</v>
      </c>
      <c r="J53" s="429"/>
      <c r="K53" s="446" t="str">
        <f>IF(B53="","",IF(J53=1,Data!$K$2,IF(J53=0,Data!$K$5,Data!$K$3)))</f>
        <v/>
      </c>
      <c r="L53" s="448" t="str">
        <f ca="1">IF(H53="","",IF(B53="","",IF(K53=Data!$K$2,"",IF(H53&lt;TODAY(),"!",""))))</f>
        <v/>
      </c>
    </row>
    <row r="54" spans="1:12" s="281" customFormat="1" ht="27" customHeight="1">
      <c r="A54" s="355"/>
      <c r="B54" s="515"/>
      <c r="C54" s="515"/>
      <c r="D54" s="510"/>
      <c r="E54" s="510"/>
      <c r="F54" s="430"/>
      <c r="G54" s="427"/>
      <c r="H54" s="427"/>
      <c r="I54" s="443">
        <f t="shared" si="1"/>
        <v>0</v>
      </c>
      <c r="J54" s="429"/>
      <c r="K54" s="446" t="str">
        <f>IF(B54="","",IF(J54=1,Data!$K$2,IF(J54=0,Data!$K$5,Data!$K$3)))</f>
        <v/>
      </c>
      <c r="L54" s="448" t="str">
        <f ca="1">IF(H54="","",IF(B54="","",IF(K54=Data!$K$2,"",IF(H54&lt;TODAY(),"!",""))))</f>
        <v/>
      </c>
    </row>
    <row r="55" spans="1:12" s="281" customFormat="1" ht="27" customHeight="1">
      <c r="A55" s="357"/>
      <c r="B55" s="515"/>
      <c r="C55" s="515"/>
      <c r="D55" s="510"/>
      <c r="E55" s="510"/>
      <c r="F55" s="430"/>
      <c r="G55" s="427"/>
      <c r="H55" s="427"/>
      <c r="I55" s="443">
        <f t="shared" si="1"/>
        <v>0</v>
      </c>
      <c r="J55" s="429"/>
      <c r="K55" s="446" t="str">
        <f>IF(B55="","",IF(J55=1,Data!$K$2,IF(J55=0,Data!$K$5,Data!$K$3)))</f>
        <v/>
      </c>
      <c r="L55" s="448" t="str">
        <f ca="1">IF(H55="","",IF(B55="","",IF(K55=Data!$K$2,"",IF(H55&lt;TODAY(),"!",""))))</f>
        <v/>
      </c>
    </row>
    <row r="56" spans="1:12" s="281" customFormat="1" ht="27" customHeight="1">
      <c r="A56" s="357"/>
      <c r="B56" s="515"/>
      <c r="C56" s="515"/>
      <c r="D56" s="510"/>
      <c r="E56" s="510"/>
      <c r="F56" s="430"/>
      <c r="G56" s="427"/>
      <c r="H56" s="427"/>
      <c r="I56" s="443">
        <f t="shared" si="1"/>
        <v>0</v>
      </c>
      <c r="J56" s="429"/>
      <c r="K56" s="446" t="str">
        <f>IF(B56="","",IF(J56=1,Data!$K$2,IF(J56=0,Data!$K$5,Data!$K$3)))</f>
        <v/>
      </c>
      <c r="L56" s="448" t="str">
        <f ca="1">IF(H56="","",IF(B56="","",IF(K56=Data!$K$2,"",IF(H56&lt;TODAY(),"!",""))))</f>
        <v/>
      </c>
    </row>
    <row r="57" spans="1:12" s="281" customFormat="1" ht="27" customHeight="1">
      <c r="A57" s="357"/>
      <c r="B57" s="515"/>
      <c r="C57" s="515"/>
      <c r="D57" s="510"/>
      <c r="E57" s="510"/>
      <c r="F57" s="430"/>
      <c r="G57" s="427"/>
      <c r="H57" s="427"/>
      <c r="I57" s="443">
        <f t="shared" si="1"/>
        <v>0</v>
      </c>
      <c r="J57" s="429"/>
      <c r="K57" s="446" t="str">
        <f>IF(B57="","",IF(J57=1,Data!$K$2,IF(J57=0,Data!$K$5,Data!$K$3)))</f>
        <v/>
      </c>
      <c r="L57" s="448" t="str">
        <f ca="1">IF(H57="","",IF(B57="","",IF(K57=Data!$K$2,"",IF(H57&lt;TODAY(),"!",""))))</f>
        <v/>
      </c>
    </row>
    <row r="58" spans="1:12" s="281" customFormat="1" ht="27" customHeight="1">
      <c r="A58" s="357"/>
      <c r="B58" s="515"/>
      <c r="C58" s="515"/>
      <c r="D58" s="510"/>
      <c r="E58" s="510"/>
      <c r="F58" s="430"/>
      <c r="G58" s="427"/>
      <c r="H58" s="427"/>
      <c r="I58" s="443">
        <f t="shared" si="1"/>
        <v>0</v>
      </c>
      <c r="J58" s="429"/>
      <c r="K58" s="446" t="str">
        <f>IF(B58="","",IF(J58=1,Data!$K$2,IF(J58=0,Data!$K$5,Data!$K$3)))</f>
        <v/>
      </c>
      <c r="L58" s="448" t="str">
        <f ca="1">IF(H58="","",IF(B58="","",IF(K58=Data!$K$2,"",IF(H58&lt;TODAY(),"!",""))))</f>
        <v/>
      </c>
    </row>
    <row r="59" spans="1:12" s="281" customFormat="1" ht="27" customHeight="1">
      <c r="A59" s="357"/>
      <c r="B59" s="515"/>
      <c r="C59" s="515"/>
      <c r="D59" s="510"/>
      <c r="E59" s="510"/>
      <c r="F59" s="430"/>
      <c r="G59" s="427"/>
      <c r="H59" s="427"/>
      <c r="I59" s="443">
        <f t="shared" si="1"/>
        <v>0</v>
      </c>
      <c r="J59" s="429"/>
      <c r="K59" s="446" t="str">
        <f>IF(B59="","",IF(J59=1,Data!$K$2,IF(J59=0,Data!$K$5,Data!$K$3)))</f>
        <v/>
      </c>
      <c r="L59" s="448" t="str">
        <f ca="1">IF(H59="","",IF(B59="","",IF(K59=Data!$K$2,"",IF(H59&lt;TODAY(),"!",""))))</f>
        <v/>
      </c>
    </row>
    <row r="60" spans="1:12" s="281" customFormat="1" ht="27" customHeight="1">
      <c r="A60" s="357"/>
      <c r="B60" s="515"/>
      <c r="C60" s="515"/>
      <c r="D60" s="510"/>
      <c r="E60" s="510"/>
      <c r="F60" s="430"/>
      <c r="G60" s="427"/>
      <c r="H60" s="427"/>
      <c r="I60" s="443">
        <f t="shared" si="1"/>
        <v>0</v>
      </c>
      <c r="J60" s="429"/>
      <c r="K60" s="446" t="str">
        <f>IF(B60="","",IF(J60=1,Data!$K$2,IF(J60=0,Data!$K$5,Data!$K$3)))</f>
        <v/>
      </c>
      <c r="L60" s="448" t="str">
        <f ca="1">IF(H60="","",IF(B60="","",IF(K60=Data!$K$2,"",IF(H60&lt;TODAY(),"!",""))))</f>
        <v/>
      </c>
    </row>
    <row r="61" spans="1:12" s="281" customFormat="1" ht="27" customHeight="1">
      <c r="A61" s="357"/>
      <c r="B61" s="515"/>
      <c r="C61" s="515"/>
      <c r="D61" s="510"/>
      <c r="E61" s="510"/>
      <c r="F61" s="430"/>
      <c r="G61" s="427"/>
      <c r="H61" s="427"/>
      <c r="I61" s="443">
        <f t="shared" si="1"/>
        <v>0</v>
      </c>
      <c r="J61" s="429"/>
      <c r="K61" s="446" t="str">
        <f>IF(B61="","",IF(J61=1,Data!$K$2,IF(J61=0,Data!$K$5,Data!$K$3)))</f>
        <v/>
      </c>
      <c r="L61" s="448" t="str">
        <f ca="1">IF(H61="","",IF(B61="","",IF(K61=Data!$K$2,"",IF(H61&lt;TODAY(),"!",""))))</f>
        <v/>
      </c>
    </row>
    <row r="62" spans="1:12" s="281" customFormat="1" ht="27" customHeight="1">
      <c r="A62" s="357"/>
      <c r="B62" s="515"/>
      <c r="C62" s="515"/>
      <c r="D62" s="510"/>
      <c r="E62" s="510"/>
      <c r="F62" s="430"/>
      <c r="G62" s="427"/>
      <c r="H62" s="427"/>
      <c r="I62" s="443">
        <f t="shared" si="1"/>
        <v>0</v>
      </c>
      <c r="J62" s="429"/>
      <c r="K62" s="446" t="str">
        <f>IF(B62="","",IF(J62=1,Data!$K$2,IF(J62=0,Data!$K$5,Data!$K$3)))</f>
        <v/>
      </c>
      <c r="L62" s="448" t="str">
        <f ca="1">IF(H62="","",IF(B62="","",IF(K62=Data!$K$2,"",IF(H62&lt;TODAY(),"!",""))))</f>
        <v/>
      </c>
    </row>
    <row r="63" spans="1:12" s="281" customFormat="1" ht="27" customHeight="1">
      <c r="A63" s="357"/>
      <c r="B63" s="515"/>
      <c r="C63" s="515"/>
      <c r="D63" s="510"/>
      <c r="E63" s="510"/>
      <c r="F63" s="430"/>
      <c r="G63" s="427"/>
      <c r="H63" s="427"/>
      <c r="I63" s="443">
        <f t="shared" si="1"/>
        <v>0</v>
      </c>
      <c r="J63" s="429"/>
      <c r="K63" s="446" t="str">
        <f>IF(B63="","",IF(J63=1,Data!$K$2,IF(J63=0,Data!$K$5,Data!$K$3)))</f>
        <v/>
      </c>
      <c r="L63" s="448" t="str">
        <f ca="1">IF(H63="","",IF(B63="","",IF(K63=Data!$K$2,"",IF(H63&lt;TODAY(),"!",""))))</f>
        <v/>
      </c>
    </row>
    <row r="64" spans="1:12" s="281" customFormat="1" ht="27" customHeight="1">
      <c r="A64" s="357"/>
      <c r="B64" s="515"/>
      <c r="C64" s="515"/>
      <c r="D64" s="510"/>
      <c r="E64" s="510"/>
      <c r="F64" s="430"/>
      <c r="G64" s="427"/>
      <c r="H64" s="427"/>
      <c r="I64" s="443">
        <f t="shared" si="1"/>
        <v>0</v>
      </c>
      <c r="J64" s="429"/>
      <c r="K64" s="446" t="str">
        <f>IF(B64="","",IF(J64=1,Data!$K$2,IF(J64=0,Data!$K$5,Data!$K$3)))</f>
        <v/>
      </c>
      <c r="L64" s="448" t="str">
        <f ca="1">IF(H64="","",IF(B64="","",IF(K64=Data!$K$2,"",IF(H64&lt;TODAY(),"!",""))))</f>
        <v/>
      </c>
    </row>
    <row r="65" spans="1:12" s="281" customFormat="1" ht="27" customHeight="1">
      <c r="A65" s="357"/>
      <c r="B65" s="515"/>
      <c r="C65" s="515"/>
      <c r="D65" s="510"/>
      <c r="E65" s="510"/>
      <c r="F65" s="430"/>
      <c r="G65" s="427"/>
      <c r="H65" s="427"/>
      <c r="I65" s="443">
        <f t="shared" si="1"/>
        <v>0</v>
      </c>
      <c r="J65" s="429"/>
      <c r="K65" s="446" t="str">
        <f>IF(B65="","",IF(J65=1,Data!$K$2,IF(J65=0,Data!$K$5,Data!$K$3)))</f>
        <v/>
      </c>
      <c r="L65" s="448" t="str">
        <f ca="1">IF(H65="","",IF(B65="","",IF(K65=Data!$K$2,"",IF(H65&lt;TODAY(),"!",""))))</f>
        <v/>
      </c>
    </row>
    <row r="66" spans="1:12" s="281" customFormat="1" ht="27" customHeight="1">
      <c r="A66" s="357"/>
      <c r="B66" s="515"/>
      <c r="C66" s="515"/>
      <c r="D66" s="510"/>
      <c r="E66" s="510"/>
      <c r="F66" s="430"/>
      <c r="G66" s="427"/>
      <c r="H66" s="427"/>
      <c r="I66" s="443">
        <f t="shared" si="1"/>
        <v>0</v>
      </c>
      <c r="J66" s="429"/>
      <c r="K66" s="446" t="str">
        <f>IF(B66="","",IF(J66=1,Data!$K$2,IF(J66=0,Data!$K$5,Data!$K$3)))</f>
        <v/>
      </c>
      <c r="L66" s="448" t="str">
        <f ca="1">IF(H66="","",IF(B66="","",IF(K66=Data!$K$2,"",IF(H66&lt;TODAY(),"!",""))))</f>
        <v/>
      </c>
    </row>
    <row r="67" spans="1:12" s="281" customFormat="1" ht="27" customHeight="1">
      <c r="A67" s="357"/>
      <c r="B67" s="515"/>
      <c r="C67" s="515"/>
      <c r="D67" s="510"/>
      <c r="E67" s="510"/>
      <c r="F67" s="430"/>
      <c r="G67" s="427"/>
      <c r="H67" s="427"/>
      <c r="I67" s="443">
        <f t="shared" si="1"/>
        <v>0</v>
      </c>
      <c r="J67" s="429"/>
      <c r="K67" s="446" t="str">
        <f>IF(B67="","",IF(J67=1,Data!$K$2,IF(J67=0,Data!$K$5,Data!$K$3)))</f>
        <v/>
      </c>
      <c r="L67" s="448" t="str">
        <f ca="1">IF(H67="","",IF(B67="","",IF(K67=Data!$K$2,"",IF(H67&lt;TODAY(),"!",""))))</f>
        <v/>
      </c>
    </row>
    <row r="68" spans="1:12" ht="27" customHeight="1">
      <c r="B68" s="515"/>
      <c r="C68" s="515"/>
      <c r="D68" s="510"/>
      <c r="E68" s="510"/>
      <c r="F68" s="432"/>
      <c r="G68" s="433"/>
      <c r="H68" s="433"/>
      <c r="I68" s="444">
        <f t="shared" si="1"/>
        <v>0</v>
      </c>
      <c r="J68" s="434"/>
      <c r="K68" s="446" t="str">
        <f>IF(B68="","",IF(J68=1,Data!$K$2,IF(J68=0,Data!$K$5,Data!$K$3)))</f>
        <v/>
      </c>
      <c r="L68" s="448" t="str">
        <f ca="1">IF(H68="","",IF(B68="","",IF(K68=Data!$K$2,"",IF(H68&lt;TODAY(),"!",""))))</f>
        <v/>
      </c>
    </row>
    <row r="69" spans="1:12" ht="27" customHeight="1">
      <c r="B69" s="515"/>
      <c r="C69" s="515"/>
      <c r="D69" s="510"/>
      <c r="E69" s="510"/>
      <c r="F69" s="432"/>
      <c r="G69" s="433"/>
      <c r="H69" s="433"/>
      <c r="I69" s="444">
        <f t="shared" si="1"/>
        <v>0</v>
      </c>
      <c r="J69" s="434"/>
      <c r="K69" s="446" t="str">
        <f>IF(B69="","",IF(J69=1,Data!$K$2,IF(J69=0,Data!$K$5,Data!$K$3)))</f>
        <v/>
      </c>
      <c r="L69" s="448" t="str">
        <f ca="1">IF(H69="","",IF(B69="","",IF(K69=Data!$K$2,"",IF(H69&lt;TODAY(),"!",""))))</f>
        <v/>
      </c>
    </row>
    <row r="70" spans="1:12" ht="27" customHeight="1">
      <c r="B70" s="515"/>
      <c r="C70" s="515"/>
      <c r="D70" s="510"/>
      <c r="E70" s="510"/>
      <c r="F70" s="432"/>
      <c r="G70" s="433"/>
      <c r="H70" s="433"/>
      <c r="I70" s="444">
        <f t="shared" si="1"/>
        <v>0</v>
      </c>
      <c r="J70" s="434"/>
      <c r="K70" s="446" t="str">
        <f>IF(B70="","",IF(J70=1,Data!$K$2,IF(J70=0,Data!$K$5,Data!$K$3)))</f>
        <v/>
      </c>
      <c r="L70" s="448" t="str">
        <f ca="1">IF(H70="","",IF(B70="","",IF(K70=Data!$K$2,"",IF(H70&lt;TODAY(),"!",""))))</f>
        <v/>
      </c>
    </row>
    <row r="71" spans="1:12" ht="27" customHeight="1">
      <c r="B71" s="515"/>
      <c r="C71" s="515"/>
      <c r="D71" s="510"/>
      <c r="E71" s="510"/>
      <c r="F71" s="432"/>
      <c r="G71" s="433"/>
      <c r="H71" s="433"/>
      <c r="I71" s="444">
        <f t="shared" si="1"/>
        <v>0</v>
      </c>
      <c r="J71" s="434"/>
      <c r="K71" s="446" t="str">
        <f>IF(B71="","",IF(J71=1,Data!$K$2,IF(J71=0,Data!$K$5,Data!$K$3)))</f>
        <v/>
      </c>
      <c r="L71" s="448" t="str">
        <f ca="1">IF(H71="","",IF(B71="","",IF(K71=Data!$K$2,"",IF(H71&lt;TODAY(),"!",""))))</f>
        <v/>
      </c>
    </row>
    <row r="72" spans="1:12" ht="27" customHeight="1">
      <c r="B72" s="515"/>
      <c r="C72" s="515"/>
      <c r="D72" s="510"/>
      <c r="E72" s="510"/>
      <c r="F72" s="432"/>
      <c r="G72" s="433"/>
      <c r="H72" s="433"/>
      <c r="I72" s="444">
        <f t="shared" si="1"/>
        <v>0</v>
      </c>
      <c r="J72" s="434"/>
      <c r="K72" s="446" t="str">
        <f>IF(B72="","",IF(J72=1,Data!$K$2,IF(J72=0,Data!$K$5,Data!$K$3)))</f>
        <v/>
      </c>
      <c r="L72" s="448" t="str">
        <f ca="1">IF(H72="","",IF(B72="","",IF(K72=Data!$K$2,"",IF(H72&lt;TODAY(),"!",""))))</f>
        <v/>
      </c>
    </row>
    <row r="73" spans="1:12" ht="27" customHeight="1">
      <c r="B73" s="515"/>
      <c r="C73" s="515"/>
      <c r="D73" s="510"/>
      <c r="E73" s="510"/>
      <c r="F73" s="432"/>
      <c r="G73" s="433"/>
      <c r="H73" s="433"/>
      <c r="I73" s="444">
        <f t="shared" si="1"/>
        <v>0</v>
      </c>
      <c r="J73" s="434"/>
      <c r="K73" s="446" t="str">
        <f>IF(B73="","",IF(J73=1,Data!$K$2,IF(J73=0,Data!$K$5,Data!$K$3)))</f>
        <v/>
      </c>
      <c r="L73" s="448" t="str">
        <f ca="1">IF(H73="","",IF(B73="","",IF(K73=Data!$K$2,"",IF(H73&lt;TODAY(),"!",""))))</f>
        <v/>
      </c>
    </row>
    <row r="74" spans="1:12" ht="27" customHeight="1">
      <c r="B74" s="515"/>
      <c r="C74" s="515"/>
      <c r="D74" s="510"/>
      <c r="E74" s="510"/>
      <c r="F74" s="432"/>
      <c r="G74" s="433"/>
      <c r="H74" s="433"/>
      <c r="I74" s="444">
        <f t="shared" si="1"/>
        <v>0</v>
      </c>
      <c r="J74" s="434"/>
      <c r="K74" s="446" t="str">
        <f>IF(B74="","",IF(J74=1,Data!$K$2,IF(J74=0,Data!$K$5,Data!$K$3)))</f>
        <v/>
      </c>
      <c r="L74" s="448" t="str">
        <f ca="1">IF(H74="","",IF(B74="","",IF(K74=Data!$K$2,"",IF(H74&lt;TODAY(),"!",""))))</f>
        <v/>
      </c>
    </row>
    <row r="75" spans="1:12" ht="27" customHeight="1">
      <c r="B75" s="515"/>
      <c r="C75" s="515"/>
      <c r="D75" s="510"/>
      <c r="E75" s="510"/>
      <c r="F75" s="432"/>
      <c r="G75" s="433"/>
      <c r="H75" s="433"/>
      <c r="I75" s="444">
        <f t="shared" si="1"/>
        <v>0</v>
      </c>
      <c r="J75" s="434"/>
      <c r="K75" s="446" t="str">
        <f>IF(B75="","",IF(J75=1,Data!$K$2,IF(J75=0,Data!$K$5,Data!$K$3)))</f>
        <v/>
      </c>
      <c r="L75" s="448" t="str">
        <f ca="1">IF(H75="","",IF(B75="","",IF(K75=Data!$K$2,"",IF(H75&lt;TODAY(),"!",""))))</f>
        <v/>
      </c>
    </row>
    <row r="76" spans="1:12" ht="27" customHeight="1">
      <c r="B76" s="515"/>
      <c r="C76" s="515"/>
      <c r="D76" s="510"/>
      <c r="E76" s="510"/>
      <c r="F76" s="432"/>
      <c r="G76" s="433"/>
      <c r="H76" s="433"/>
      <c r="I76" s="444">
        <f t="shared" si="1"/>
        <v>0</v>
      </c>
      <c r="J76" s="434"/>
      <c r="K76" s="446" t="str">
        <f>IF(B76="","",IF(J76=1,Data!$K$2,IF(J76=0,Data!$K$5,Data!$K$3)))</f>
        <v/>
      </c>
      <c r="L76" s="448" t="str">
        <f ca="1">IF(H76="","",IF(B76="","",IF(K76=Data!$K$2,"",IF(H76&lt;TODAY(),"!",""))))</f>
        <v/>
      </c>
    </row>
    <row r="77" spans="1:12" ht="27" customHeight="1">
      <c r="B77" s="515"/>
      <c r="C77" s="515"/>
      <c r="D77" s="510"/>
      <c r="E77" s="510"/>
      <c r="F77" s="432"/>
      <c r="G77" s="433"/>
      <c r="H77" s="433"/>
      <c r="I77" s="444">
        <f t="shared" ref="I77:I111" si="2">IFERROR(H77-G77,0)</f>
        <v>0</v>
      </c>
      <c r="J77" s="434"/>
      <c r="K77" s="446" t="str">
        <f>IF(B77="","",IF(J77=1,Data!$K$2,IF(J77=0,Data!$K$5,Data!$K$3)))</f>
        <v/>
      </c>
      <c r="L77" s="448" t="str">
        <f ca="1">IF(H77="","",IF(B77="","",IF(K77=Data!$K$2,"",IF(H77&lt;TODAY(),"!",""))))</f>
        <v/>
      </c>
    </row>
    <row r="78" spans="1:12" ht="27" customHeight="1">
      <c r="B78" s="515"/>
      <c r="C78" s="515"/>
      <c r="D78" s="510"/>
      <c r="E78" s="510"/>
      <c r="F78" s="432"/>
      <c r="G78" s="433"/>
      <c r="H78" s="433"/>
      <c r="I78" s="444">
        <f t="shared" si="2"/>
        <v>0</v>
      </c>
      <c r="J78" s="434"/>
      <c r="K78" s="446" t="str">
        <f>IF(B78="","",IF(J78=1,Data!$K$2,IF(J78=0,Data!$K$5,Data!$K$3)))</f>
        <v/>
      </c>
      <c r="L78" s="448" t="str">
        <f ca="1">IF(H78="","",IF(B78="","",IF(K78=Data!$K$2,"",IF(H78&lt;TODAY(),"!",""))))</f>
        <v/>
      </c>
    </row>
    <row r="79" spans="1:12" ht="27" customHeight="1">
      <c r="B79" s="515"/>
      <c r="C79" s="515"/>
      <c r="D79" s="510"/>
      <c r="E79" s="510"/>
      <c r="F79" s="432"/>
      <c r="G79" s="433"/>
      <c r="H79" s="433"/>
      <c r="I79" s="444">
        <f t="shared" si="2"/>
        <v>0</v>
      </c>
      <c r="J79" s="434"/>
      <c r="K79" s="446" t="str">
        <f>IF(B79="","",IF(J79=1,Data!$K$2,IF(J79=0,Data!$K$5,Data!$K$3)))</f>
        <v/>
      </c>
      <c r="L79" s="448" t="str">
        <f ca="1">IF(H79="","",IF(B79="","",IF(K79=Data!$K$2,"",IF(H79&lt;TODAY(),"!",""))))</f>
        <v/>
      </c>
    </row>
    <row r="80" spans="1:12" ht="27" customHeight="1">
      <c r="B80" s="515"/>
      <c r="C80" s="515"/>
      <c r="D80" s="510"/>
      <c r="E80" s="510"/>
      <c r="F80" s="432"/>
      <c r="G80" s="433"/>
      <c r="H80" s="433"/>
      <c r="I80" s="444">
        <f t="shared" si="2"/>
        <v>0</v>
      </c>
      <c r="J80" s="434"/>
      <c r="K80" s="446" t="str">
        <f>IF(B80="","",IF(J80=1,Data!$K$2,IF(J80=0,Data!$K$5,Data!$K$3)))</f>
        <v/>
      </c>
      <c r="L80" s="448" t="str">
        <f ca="1">IF(H80="","",IF(B80="","",IF(K80=Data!$K$2,"",IF(H80&lt;TODAY(),"!",""))))</f>
        <v/>
      </c>
    </row>
    <row r="81" spans="2:12" ht="27" customHeight="1">
      <c r="B81" s="515"/>
      <c r="C81" s="515"/>
      <c r="D81" s="510"/>
      <c r="E81" s="510"/>
      <c r="F81" s="432"/>
      <c r="G81" s="433"/>
      <c r="H81" s="433"/>
      <c r="I81" s="444">
        <f t="shared" si="2"/>
        <v>0</v>
      </c>
      <c r="J81" s="434"/>
      <c r="K81" s="446" t="str">
        <f>IF(B81="","",IF(J81=1,Data!$K$2,IF(J81=0,Data!$K$5,Data!$K$3)))</f>
        <v/>
      </c>
      <c r="L81" s="448" t="str">
        <f ca="1">IF(H81="","",IF(B81="","",IF(K81=Data!$K$2,"",IF(H81&lt;TODAY(),"!",""))))</f>
        <v/>
      </c>
    </row>
    <row r="82" spans="2:12" ht="27" customHeight="1">
      <c r="B82" s="515"/>
      <c r="C82" s="515"/>
      <c r="D82" s="510"/>
      <c r="E82" s="510"/>
      <c r="F82" s="432"/>
      <c r="G82" s="433"/>
      <c r="H82" s="433"/>
      <c r="I82" s="444">
        <f t="shared" si="2"/>
        <v>0</v>
      </c>
      <c r="J82" s="434"/>
      <c r="K82" s="446" t="str">
        <f>IF(B82="","",IF(J82=1,Data!$K$2,IF(J82=0,Data!$K$5,Data!$K$3)))</f>
        <v/>
      </c>
      <c r="L82" s="448" t="str">
        <f ca="1">IF(H82="","",IF(B82="","",IF(K82=Data!$K$2,"",IF(H82&lt;TODAY(),"!",""))))</f>
        <v/>
      </c>
    </row>
    <row r="83" spans="2:12" ht="27" customHeight="1">
      <c r="B83" s="515"/>
      <c r="C83" s="515"/>
      <c r="D83" s="510"/>
      <c r="E83" s="510"/>
      <c r="F83" s="432"/>
      <c r="G83" s="433"/>
      <c r="H83" s="433"/>
      <c r="I83" s="444">
        <f t="shared" si="2"/>
        <v>0</v>
      </c>
      <c r="J83" s="434"/>
      <c r="K83" s="446" t="str">
        <f>IF(B83="","",IF(J83=1,Data!$K$2,IF(J83=0,Data!$K$5,Data!$K$3)))</f>
        <v/>
      </c>
      <c r="L83" s="448" t="str">
        <f ca="1">IF(H83="","",IF(B83="","",IF(K83=Data!$K$2,"",IF(H83&lt;TODAY(),"!",""))))</f>
        <v/>
      </c>
    </row>
    <row r="84" spans="2:12" ht="27" customHeight="1">
      <c r="B84" s="515"/>
      <c r="C84" s="515"/>
      <c r="D84" s="510"/>
      <c r="E84" s="510"/>
      <c r="F84" s="432"/>
      <c r="G84" s="433"/>
      <c r="H84" s="433"/>
      <c r="I84" s="444">
        <f t="shared" si="2"/>
        <v>0</v>
      </c>
      <c r="J84" s="434"/>
      <c r="K84" s="446" t="str">
        <f>IF(B84="","",IF(J84=1,Data!$K$2,IF(J84=0,Data!$K$5,Data!$K$3)))</f>
        <v/>
      </c>
      <c r="L84" s="448" t="str">
        <f ca="1">IF(H84="","",IF(B84="","",IF(K84=Data!$K$2,"",IF(H84&lt;TODAY(),"!",""))))</f>
        <v/>
      </c>
    </row>
    <row r="85" spans="2:12" ht="27" customHeight="1">
      <c r="B85" s="515"/>
      <c r="C85" s="515"/>
      <c r="D85" s="510"/>
      <c r="E85" s="510"/>
      <c r="F85" s="432"/>
      <c r="G85" s="433"/>
      <c r="H85" s="433"/>
      <c r="I85" s="444">
        <f t="shared" si="2"/>
        <v>0</v>
      </c>
      <c r="J85" s="434"/>
      <c r="K85" s="446" t="str">
        <f>IF(B85="","",IF(J85=1,Data!$K$2,IF(J85=0,Data!$K$5,Data!$K$3)))</f>
        <v/>
      </c>
      <c r="L85" s="448" t="str">
        <f ca="1">IF(H85="","",IF(B85="","",IF(K85=Data!$K$2,"",IF(H85&lt;TODAY(),"!",""))))</f>
        <v/>
      </c>
    </row>
    <row r="86" spans="2:12" ht="27" customHeight="1">
      <c r="B86" s="515"/>
      <c r="C86" s="515"/>
      <c r="D86" s="510"/>
      <c r="E86" s="510"/>
      <c r="F86" s="432"/>
      <c r="G86" s="433"/>
      <c r="H86" s="433"/>
      <c r="I86" s="444">
        <f t="shared" si="2"/>
        <v>0</v>
      </c>
      <c r="J86" s="434"/>
      <c r="K86" s="446" t="str">
        <f>IF(B86="","",IF(J86=1,Data!$K$2,IF(J86=0,Data!$K$5,Data!$K$3)))</f>
        <v/>
      </c>
      <c r="L86" s="448" t="str">
        <f ca="1">IF(H86="","",IF(B86="","",IF(K86=Data!$K$2,"",IF(H86&lt;TODAY(),"!",""))))</f>
        <v/>
      </c>
    </row>
    <row r="87" spans="2:12" ht="27" customHeight="1">
      <c r="B87" s="515"/>
      <c r="C87" s="515"/>
      <c r="D87" s="510"/>
      <c r="E87" s="510"/>
      <c r="F87" s="432"/>
      <c r="G87" s="433"/>
      <c r="H87" s="433"/>
      <c r="I87" s="444">
        <f t="shared" si="2"/>
        <v>0</v>
      </c>
      <c r="J87" s="434"/>
      <c r="K87" s="446" t="str">
        <f>IF(B87="","",IF(J87=1,Data!$K$2,IF(J87=0,Data!$K$5,Data!$K$3)))</f>
        <v/>
      </c>
      <c r="L87" s="448" t="str">
        <f ca="1">IF(H87="","",IF(B87="","",IF(K87=Data!$K$2,"",IF(H87&lt;TODAY(),"!",""))))</f>
        <v/>
      </c>
    </row>
    <row r="88" spans="2:12" ht="27" customHeight="1">
      <c r="B88" s="515"/>
      <c r="C88" s="515"/>
      <c r="D88" s="510"/>
      <c r="E88" s="510"/>
      <c r="F88" s="432"/>
      <c r="G88" s="433"/>
      <c r="H88" s="433"/>
      <c r="I88" s="444">
        <f t="shared" si="2"/>
        <v>0</v>
      </c>
      <c r="J88" s="434"/>
      <c r="K88" s="446" t="str">
        <f>IF(B88="","",IF(J88=1,Data!$K$2,IF(J88=0,Data!$K$5,Data!$K$3)))</f>
        <v/>
      </c>
      <c r="L88" s="448" t="str">
        <f ca="1">IF(H88="","",IF(B88="","",IF(K88=Data!$K$2,"",IF(H88&lt;TODAY(),"!",""))))</f>
        <v/>
      </c>
    </row>
    <row r="89" spans="2:12" ht="27" customHeight="1">
      <c r="B89" s="515"/>
      <c r="C89" s="515"/>
      <c r="D89" s="510"/>
      <c r="E89" s="510"/>
      <c r="F89" s="432"/>
      <c r="G89" s="433"/>
      <c r="H89" s="433"/>
      <c r="I89" s="444">
        <f t="shared" si="2"/>
        <v>0</v>
      </c>
      <c r="J89" s="434"/>
      <c r="K89" s="446" t="str">
        <f>IF(B89="","",IF(J89=1,Data!$K$2,IF(J89=0,Data!$K$5,Data!$K$3)))</f>
        <v/>
      </c>
      <c r="L89" s="448" t="str">
        <f ca="1">IF(H89="","",IF(B89="","",IF(K89=Data!$K$2,"",IF(H89&lt;TODAY(),"!",""))))</f>
        <v/>
      </c>
    </row>
    <row r="90" spans="2:12" ht="27" customHeight="1">
      <c r="B90" s="515"/>
      <c r="C90" s="515"/>
      <c r="D90" s="510"/>
      <c r="E90" s="510"/>
      <c r="F90" s="432"/>
      <c r="G90" s="433"/>
      <c r="H90" s="433"/>
      <c r="I90" s="444">
        <f t="shared" si="2"/>
        <v>0</v>
      </c>
      <c r="J90" s="434"/>
      <c r="K90" s="446" t="str">
        <f>IF(B90="","",IF(J90=1,Data!$K$2,IF(J90=0,Data!$K$5,Data!$K$3)))</f>
        <v/>
      </c>
      <c r="L90" s="448" t="str">
        <f ca="1">IF(H90="","",IF(B90="","",IF(K90=Data!$K$2,"",IF(H90&lt;TODAY(),"!",""))))</f>
        <v/>
      </c>
    </row>
    <row r="91" spans="2:12" ht="27" customHeight="1">
      <c r="B91" s="515"/>
      <c r="C91" s="515"/>
      <c r="D91" s="510"/>
      <c r="E91" s="510"/>
      <c r="F91" s="432"/>
      <c r="G91" s="433"/>
      <c r="H91" s="433"/>
      <c r="I91" s="444">
        <f t="shared" si="2"/>
        <v>0</v>
      </c>
      <c r="J91" s="434"/>
      <c r="K91" s="446" t="str">
        <f>IF(B91="","",IF(J91=1,Data!$K$2,IF(J91=0,Data!$K$5,Data!$K$3)))</f>
        <v/>
      </c>
      <c r="L91" s="448" t="str">
        <f ca="1">IF(H91="","",IF(B91="","",IF(K91=Data!$K$2,"",IF(H91&lt;TODAY(),"!",""))))</f>
        <v/>
      </c>
    </row>
    <row r="92" spans="2:12" ht="27" customHeight="1">
      <c r="B92" s="515"/>
      <c r="C92" s="515"/>
      <c r="D92" s="510"/>
      <c r="E92" s="510"/>
      <c r="F92" s="432"/>
      <c r="G92" s="433"/>
      <c r="H92" s="433"/>
      <c r="I92" s="444">
        <f t="shared" si="2"/>
        <v>0</v>
      </c>
      <c r="J92" s="434"/>
      <c r="K92" s="446" t="str">
        <f>IF(B92="","",IF(J92=1,Data!$K$2,IF(J92=0,Data!$K$5,Data!$K$3)))</f>
        <v/>
      </c>
      <c r="L92" s="448" t="str">
        <f ca="1">IF(H92="","",IF(B92="","",IF(K92=Data!$K$2,"",IF(H92&lt;TODAY(),"!",""))))</f>
        <v/>
      </c>
    </row>
    <row r="93" spans="2:12" ht="27" customHeight="1">
      <c r="B93" s="515"/>
      <c r="C93" s="515"/>
      <c r="D93" s="510"/>
      <c r="E93" s="510"/>
      <c r="F93" s="432"/>
      <c r="G93" s="433"/>
      <c r="H93" s="433"/>
      <c r="I93" s="444">
        <f t="shared" si="2"/>
        <v>0</v>
      </c>
      <c r="J93" s="434"/>
      <c r="K93" s="446" t="str">
        <f>IF(B93="","",IF(J93=1,Data!$K$2,IF(J93=0,Data!$K$5,Data!$K$3)))</f>
        <v/>
      </c>
      <c r="L93" s="448" t="str">
        <f ca="1">IF(H93="","",IF(B93="","",IF(K93=Data!$K$2,"",IF(H93&lt;TODAY(),"!",""))))</f>
        <v/>
      </c>
    </row>
    <row r="94" spans="2:12" ht="27" customHeight="1">
      <c r="B94" s="515"/>
      <c r="C94" s="515"/>
      <c r="D94" s="510"/>
      <c r="E94" s="510"/>
      <c r="F94" s="432"/>
      <c r="G94" s="433"/>
      <c r="H94" s="433"/>
      <c r="I94" s="444">
        <f t="shared" si="2"/>
        <v>0</v>
      </c>
      <c r="J94" s="434"/>
      <c r="K94" s="446" t="str">
        <f>IF(B94="","",IF(J94=1,Data!$K$2,IF(J94=0,Data!$K$5,Data!$K$3)))</f>
        <v/>
      </c>
      <c r="L94" s="448" t="str">
        <f ca="1">IF(H94="","",IF(B94="","",IF(K94=Data!$K$2,"",IF(H94&lt;TODAY(),"!",""))))</f>
        <v/>
      </c>
    </row>
    <row r="95" spans="2:12" ht="27" customHeight="1">
      <c r="B95" s="515"/>
      <c r="C95" s="515"/>
      <c r="D95" s="510"/>
      <c r="E95" s="510"/>
      <c r="F95" s="432"/>
      <c r="G95" s="433"/>
      <c r="H95" s="433"/>
      <c r="I95" s="444">
        <f t="shared" si="2"/>
        <v>0</v>
      </c>
      <c r="J95" s="434"/>
      <c r="K95" s="446" t="str">
        <f>IF(B95="","",IF(J95=1,Data!$K$2,IF(J95=0,Data!$K$5,Data!$K$3)))</f>
        <v/>
      </c>
      <c r="L95" s="448" t="str">
        <f ca="1">IF(H95="","",IF(B95="","",IF(K95=Data!$K$2,"",IF(H95&lt;TODAY(),"!",""))))</f>
        <v/>
      </c>
    </row>
    <row r="96" spans="2:12" ht="27" customHeight="1">
      <c r="B96" s="515"/>
      <c r="C96" s="515"/>
      <c r="D96" s="510"/>
      <c r="E96" s="510"/>
      <c r="F96" s="432"/>
      <c r="G96" s="433"/>
      <c r="H96" s="433"/>
      <c r="I96" s="444">
        <f t="shared" si="2"/>
        <v>0</v>
      </c>
      <c r="J96" s="434"/>
      <c r="K96" s="446" t="str">
        <f>IF(B96="","",IF(J96=1,Data!$K$2,IF(J96=0,Data!$K$5,Data!$K$3)))</f>
        <v/>
      </c>
      <c r="L96" s="448" t="str">
        <f ca="1">IF(H96="","",IF(B96="","",IF(K96=Data!$K$2,"",IF(H96&lt;TODAY(),"!",""))))</f>
        <v/>
      </c>
    </row>
    <row r="97" spans="2:12" ht="27" customHeight="1">
      <c r="B97" s="515"/>
      <c r="C97" s="515"/>
      <c r="D97" s="510"/>
      <c r="E97" s="510"/>
      <c r="F97" s="432"/>
      <c r="G97" s="433"/>
      <c r="H97" s="433"/>
      <c r="I97" s="444">
        <f t="shared" si="2"/>
        <v>0</v>
      </c>
      <c r="J97" s="434"/>
      <c r="K97" s="446" t="str">
        <f>IF(B97="","",IF(J97=1,Data!$K$2,IF(J97=0,Data!$K$5,Data!$K$3)))</f>
        <v/>
      </c>
      <c r="L97" s="448" t="str">
        <f ca="1">IF(H97="","",IF(B97="","",IF(K97=Data!$K$2,"",IF(H97&lt;TODAY(),"!",""))))</f>
        <v/>
      </c>
    </row>
    <row r="98" spans="2:12" ht="27" customHeight="1">
      <c r="B98" s="515"/>
      <c r="C98" s="515"/>
      <c r="D98" s="510"/>
      <c r="E98" s="510"/>
      <c r="F98" s="432"/>
      <c r="G98" s="433"/>
      <c r="H98" s="433"/>
      <c r="I98" s="444">
        <f t="shared" si="2"/>
        <v>0</v>
      </c>
      <c r="J98" s="434"/>
      <c r="K98" s="446" t="str">
        <f>IF(B98="","",IF(J98=1,Data!$K$2,IF(J98=0,Data!$K$5,Data!$K$3)))</f>
        <v/>
      </c>
      <c r="L98" s="448" t="str">
        <f ca="1">IF(H98="","",IF(B98="","",IF(K98=Data!$K$2,"",IF(H98&lt;TODAY(),"!",""))))</f>
        <v/>
      </c>
    </row>
    <row r="99" spans="2:12" ht="27" customHeight="1">
      <c r="B99" s="515"/>
      <c r="C99" s="515"/>
      <c r="D99" s="510"/>
      <c r="E99" s="510"/>
      <c r="F99" s="432"/>
      <c r="G99" s="433"/>
      <c r="H99" s="433"/>
      <c r="I99" s="444">
        <f t="shared" si="2"/>
        <v>0</v>
      </c>
      <c r="J99" s="434"/>
      <c r="K99" s="446" t="str">
        <f>IF(B99="","",IF(J99=1,Data!$K$2,IF(J99=0,Data!$K$5,Data!$K$3)))</f>
        <v/>
      </c>
      <c r="L99" s="448" t="str">
        <f ca="1">IF(H99="","",IF(B99="","",IF(K99=Data!$K$2,"",IF(H99&lt;TODAY(),"!",""))))</f>
        <v/>
      </c>
    </row>
    <row r="100" spans="2:12" ht="27" customHeight="1">
      <c r="B100" s="515"/>
      <c r="C100" s="515"/>
      <c r="D100" s="510"/>
      <c r="E100" s="510"/>
      <c r="F100" s="432"/>
      <c r="G100" s="433"/>
      <c r="H100" s="433"/>
      <c r="I100" s="444">
        <f t="shared" si="2"/>
        <v>0</v>
      </c>
      <c r="J100" s="434"/>
      <c r="K100" s="446" t="str">
        <f>IF(B100="","",IF(J100=1,Data!$K$2,IF(J100=0,Data!$K$5,Data!$K$3)))</f>
        <v/>
      </c>
      <c r="L100" s="448" t="str">
        <f ca="1">IF(H100="","",IF(B100="","",IF(K100=Data!$K$2,"",IF(H100&lt;TODAY(),"!",""))))</f>
        <v/>
      </c>
    </row>
    <row r="101" spans="2:12" ht="27" customHeight="1">
      <c r="B101" s="515"/>
      <c r="C101" s="515"/>
      <c r="D101" s="510"/>
      <c r="E101" s="510"/>
      <c r="F101" s="432"/>
      <c r="G101" s="433"/>
      <c r="H101" s="433"/>
      <c r="I101" s="444">
        <f t="shared" si="2"/>
        <v>0</v>
      </c>
      <c r="J101" s="434"/>
      <c r="K101" s="446" t="str">
        <f>IF(B101="","",IF(J101=1,Data!$K$2,IF(J101=0,Data!$K$5,Data!$K$3)))</f>
        <v/>
      </c>
      <c r="L101" s="448" t="str">
        <f ca="1">IF(H101="","",IF(B101="","",IF(K101=Data!$K$2,"",IF(H101&lt;TODAY(),"!",""))))</f>
        <v/>
      </c>
    </row>
    <row r="102" spans="2:12" ht="27" customHeight="1">
      <c r="B102" s="515"/>
      <c r="C102" s="515"/>
      <c r="D102" s="510"/>
      <c r="E102" s="510"/>
      <c r="F102" s="432"/>
      <c r="G102" s="433"/>
      <c r="H102" s="433"/>
      <c r="I102" s="444">
        <f t="shared" si="2"/>
        <v>0</v>
      </c>
      <c r="J102" s="434"/>
      <c r="K102" s="446" t="str">
        <f>IF(B102="","",IF(J102=1,Data!$K$2,IF(J102=0,Data!$K$5,Data!$K$3)))</f>
        <v/>
      </c>
      <c r="L102" s="448" t="str">
        <f ca="1">IF(H102="","",IF(B102="","",IF(K102=Data!$K$2,"",IF(H102&lt;TODAY(),"!",""))))</f>
        <v/>
      </c>
    </row>
    <row r="103" spans="2:12" ht="27" customHeight="1">
      <c r="B103" s="515"/>
      <c r="C103" s="515"/>
      <c r="D103" s="510"/>
      <c r="E103" s="510"/>
      <c r="F103" s="432"/>
      <c r="G103" s="433"/>
      <c r="H103" s="433"/>
      <c r="I103" s="444">
        <f t="shared" si="2"/>
        <v>0</v>
      </c>
      <c r="J103" s="434"/>
      <c r="K103" s="446" t="str">
        <f>IF(B103="","",IF(J103=1,Data!$K$2,IF(J103=0,Data!$K$5,Data!$K$3)))</f>
        <v/>
      </c>
      <c r="L103" s="448" t="str">
        <f ca="1">IF(H103="","",IF(B103="","",IF(K103=Data!$K$2,"",IF(H103&lt;TODAY(),"!",""))))</f>
        <v/>
      </c>
    </row>
    <row r="104" spans="2:12" ht="27" customHeight="1">
      <c r="B104" s="515"/>
      <c r="C104" s="515"/>
      <c r="D104" s="510"/>
      <c r="E104" s="510"/>
      <c r="F104" s="432"/>
      <c r="G104" s="433"/>
      <c r="H104" s="433"/>
      <c r="I104" s="444">
        <f t="shared" si="2"/>
        <v>0</v>
      </c>
      <c r="J104" s="434"/>
      <c r="K104" s="446" t="str">
        <f>IF(B104="","",IF(J104=1,Data!$K$2,IF(J104=0,Data!$K$5,Data!$K$3)))</f>
        <v/>
      </c>
      <c r="L104" s="448" t="str">
        <f ca="1">IF(H104="","",IF(B104="","",IF(K104=Data!$K$2,"",IF(H104&lt;TODAY(),"!",""))))</f>
        <v/>
      </c>
    </row>
    <row r="105" spans="2:12" ht="27" customHeight="1">
      <c r="B105" s="515"/>
      <c r="C105" s="515"/>
      <c r="D105" s="510"/>
      <c r="E105" s="510"/>
      <c r="F105" s="432"/>
      <c r="G105" s="433"/>
      <c r="H105" s="433"/>
      <c r="I105" s="444">
        <f t="shared" si="2"/>
        <v>0</v>
      </c>
      <c r="J105" s="434"/>
      <c r="K105" s="446" t="str">
        <f>IF(B105="","",IF(J105=1,Data!$K$2,IF(J105=0,Data!$K$5,Data!$K$3)))</f>
        <v/>
      </c>
      <c r="L105" s="448" t="str">
        <f ca="1">IF(H105="","",IF(B105="","",IF(K105=Data!$K$2,"",IF(H105&lt;TODAY(),"!",""))))</f>
        <v/>
      </c>
    </row>
    <row r="106" spans="2:12" ht="27" customHeight="1">
      <c r="B106" s="515"/>
      <c r="C106" s="515"/>
      <c r="D106" s="510"/>
      <c r="E106" s="510"/>
      <c r="F106" s="432"/>
      <c r="G106" s="433"/>
      <c r="H106" s="433"/>
      <c r="I106" s="444">
        <f t="shared" si="2"/>
        <v>0</v>
      </c>
      <c r="J106" s="434"/>
      <c r="K106" s="446" t="str">
        <f>IF(B106="","",IF(J106=1,Data!$K$2,IF(J106=0,Data!$K$5,Data!$K$3)))</f>
        <v/>
      </c>
      <c r="L106" s="448" t="str">
        <f ca="1">IF(H106="","",IF(B106="","",IF(K106=Data!$K$2,"",IF(H106&lt;TODAY(),"!",""))))</f>
        <v/>
      </c>
    </row>
    <row r="107" spans="2:12" ht="27" customHeight="1">
      <c r="B107" s="515"/>
      <c r="C107" s="515"/>
      <c r="D107" s="510"/>
      <c r="E107" s="510"/>
      <c r="F107" s="432"/>
      <c r="G107" s="433"/>
      <c r="H107" s="433"/>
      <c r="I107" s="444">
        <f t="shared" si="2"/>
        <v>0</v>
      </c>
      <c r="J107" s="434"/>
      <c r="K107" s="446" t="str">
        <f>IF(B107="","",IF(J107=1,Data!$K$2,IF(J107=0,Data!$K$5,Data!$K$3)))</f>
        <v/>
      </c>
      <c r="L107" s="448" t="str">
        <f ca="1">IF(H107="","",IF(B107="","",IF(K107=Data!$K$2,"",IF(H107&lt;TODAY(),"!",""))))</f>
        <v/>
      </c>
    </row>
    <row r="108" spans="2:12" ht="27" customHeight="1">
      <c r="B108" s="515"/>
      <c r="C108" s="515"/>
      <c r="D108" s="510"/>
      <c r="E108" s="510"/>
      <c r="F108" s="432"/>
      <c r="G108" s="433"/>
      <c r="H108" s="433"/>
      <c r="I108" s="444">
        <f t="shared" si="2"/>
        <v>0</v>
      </c>
      <c r="J108" s="434"/>
      <c r="K108" s="446" t="str">
        <f>IF(B108="","",IF(J108=1,Data!$K$2,IF(J108=0,Data!$K$5,Data!$K$3)))</f>
        <v/>
      </c>
      <c r="L108" s="448" t="str">
        <f ca="1">IF(H108="","",IF(B108="","",IF(K108=Data!$K$2,"",IF(H108&lt;TODAY(),"!",""))))</f>
        <v/>
      </c>
    </row>
    <row r="109" spans="2:12" ht="27" customHeight="1">
      <c r="B109" s="515"/>
      <c r="C109" s="515"/>
      <c r="D109" s="510"/>
      <c r="E109" s="510"/>
      <c r="F109" s="432"/>
      <c r="G109" s="433"/>
      <c r="H109" s="433"/>
      <c r="I109" s="444">
        <f t="shared" si="2"/>
        <v>0</v>
      </c>
      <c r="J109" s="434"/>
      <c r="K109" s="446" t="str">
        <f>IF(B109="","",IF(J109=1,Data!$K$2,IF(J109=0,Data!$K$5,Data!$K$3)))</f>
        <v/>
      </c>
      <c r="L109" s="448" t="str">
        <f ca="1">IF(H109="","",IF(B109="","",IF(K109=Data!$K$2,"",IF(H109&lt;TODAY(),"!",""))))</f>
        <v/>
      </c>
    </row>
    <row r="110" spans="2:12" ht="27" customHeight="1">
      <c r="B110" s="515"/>
      <c r="C110" s="515"/>
      <c r="D110" s="510"/>
      <c r="E110" s="510"/>
      <c r="F110" s="432"/>
      <c r="G110" s="433"/>
      <c r="H110" s="433"/>
      <c r="I110" s="444">
        <f t="shared" si="2"/>
        <v>0</v>
      </c>
      <c r="J110" s="434"/>
      <c r="K110" s="446" t="str">
        <f>IF(B110="","",IF(J110=1,Data!$K$2,IF(J110=0,Data!$K$5,Data!$K$3)))</f>
        <v/>
      </c>
      <c r="L110" s="448" t="str">
        <f ca="1">IF(H110="","",IF(B110="","",IF(K110=Data!$K$2,"",IF(H110&lt;TODAY(),"!",""))))</f>
        <v/>
      </c>
    </row>
    <row r="111" spans="2:12" ht="27" customHeight="1">
      <c r="B111" s="515"/>
      <c r="C111" s="515"/>
      <c r="D111" s="510"/>
      <c r="E111" s="510"/>
      <c r="F111" s="435"/>
      <c r="G111" s="436"/>
      <c r="H111" s="436"/>
      <c r="I111" s="445">
        <f t="shared" si="2"/>
        <v>0</v>
      </c>
      <c r="J111" s="437"/>
      <c r="K111" s="446" t="str">
        <f>IF(B111="","",IF(J111=1,Data!$K$2,IF(J111=0,Data!$K$5,Data!$K$3)))</f>
        <v/>
      </c>
      <c r="L111" s="448" t="str">
        <f ca="1">IF(H111="","",IF(B111="","",IF(K111=Data!$K$2,"",IF(H111&lt;TODAY(),"!",""))))</f>
        <v/>
      </c>
    </row>
  </sheetData>
  <sheetProtection formatCells="0" formatColumns="0" formatRows="0" selectLockedCells="1" sort="0" autoFilter="0" pivotTables="0"/>
  <autoFilter ref="B11:L11" xr:uid="{31D5620F-9E5C-4AAA-9BEC-BCEC824B64E7}">
    <filterColumn colId="0" showButton="0"/>
    <filterColumn colId="2" showButton="0"/>
  </autoFilter>
  <mergeCells count="204">
    <mergeCell ref="B13:C13"/>
    <mergeCell ref="D13:E13"/>
    <mergeCell ref="B14:C14"/>
    <mergeCell ref="D14:E14"/>
    <mergeCell ref="B15:C15"/>
    <mergeCell ref="D15:E15"/>
    <mergeCell ref="B11:C11"/>
    <mergeCell ref="D11:E11"/>
    <mergeCell ref="B12:C12"/>
    <mergeCell ref="D12:E12"/>
    <mergeCell ref="B19:C19"/>
    <mergeCell ref="D19:E19"/>
    <mergeCell ref="B20:C20"/>
    <mergeCell ref="D20:E20"/>
    <mergeCell ref="B21:C21"/>
    <mergeCell ref="D21:E21"/>
    <mergeCell ref="B16:C16"/>
    <mergeCell ref="D16:E16"/>
    <mergeCell ref="B17:C17"/>
    <mergeCell ref="D17:E17"/>
    <mergeCell ref="B18:C18"/>
    <mergeCell ref="D18:E18"/>
    <mergeCell ref="B25:C25"/>
    <mergeCell ref="D25:E25"/>
    <mergeCell ref="B26:C26"/>
    <mergeCell ref="D26:E26"/>
    <mergeCell ref="B27:C27"/>
    <mergeCell ref="D27:E27"/>
    <mergeCell ref="B22:C22"/>
    <mergeCell ref="D22:E22"/>
    <mergeCell ref="B23:C23"/>
    <mergeCell ref="D23:E23"/>
    <mergeCell ref="B24:C24"/>
    <mergeCell ref="D24:E24"/>
    <mergeCell ref="B31:C31"/>
    <mergeCell ref="D31:E31"/>
    <mergeCell ref="B32:C32"/>
    <mergeCell ref="D32:E32"/>
    <mergeCell ref="B33:C33"/>
    <mergeCell ref="D33:E33"/>
    <mergeCell ref="B28:C28"/>
    <mergeCell ref="D28:E28"/>
    <mergeCell ref="B29:C29"/>
    <mergeCell ref="D29:E29"/>
    <mergeCell ref="B30:C30"/>
    <mergeCell ref="D30:E30"/>
    <mergeCell ref="B37:C37"/>
    <mergeCell ref="D37:E37"/>
    <mergeCell ref="B38:C38"/>
    <mergeCell ref="D38:E38"/>
    <mergeCell ref="B39:C39"/>
    <mergeCell ref="D39:E39"/>
    <mergeCell ref="B34:C34"/>
    <mergeCell ref="D34:E34"/>
    <mergeCell ref="B35:C35"/>
    <mergeCell ref="D35:E35"/>
    <mergeCell ref="B36:C36"/>
    <mergeCell ref="D36:E36"/>
    <mergeCell ref="B43:C43"/>
    <mergeCell ref="D43:E43"/>
    <mergeCell ref="B44:C44"/>
    <mergeCell ref="D44:E44"/>
    <mergeCell ref="B45:C45"/>
    <mergeCell ref="D45:E45"/>
    <mergeCell ref="B40:C40"/>
    <mergeCell ref="D40:E40"/>
    <mergeCell ref="B41:C41"/>
    <mergeCell ref="D41:E41"/>
    <mergeCell ref="B42:C42"/>
    <mergeCell ref="D42:E42"/>
    <mergeCell ref="B49:C49"/>
    <mergeCell ref="D49:E49"/>
    <mergeCell ref="B50:C50"/>
    <mergeCell ref="D50:E50"/>
    <mergeCell ref="B51:C51"/>
    <mergeCell ref="D51:E51"/>
    <mergeCell ref="B46:C46"/>
    <mergeCell ref="D46:E46"/>
    <mergeCell ref="B47:C47"/>
    <mergeCell ref="D47:E47"/>
    <mergeCell ref="B48:C48"/>
    <mergeCell ref="D48:E48"/>
    <mergeCell ref="B55:C55"/>
    <mergeCell ref="D55:E55"/>
    <mergeCell ref="B56:C56"/>
    <mergeCell ref="D56:E56"/>
    <mergeCell ref="B57:C57"/>
    <mergeCell ref="D57:E57"/>
    <mergeCell ref="B52:C52"/>
    <mergeCell ref="D52:E52"/>
    <mergeCell ref="B53:C53"/>
    <mergeCell ref="D53:E53"/>
    <mergeCell ref="B54:C54"/>
    <mergeCell ref="D54:E54"/>
    <mergeCell ref="B61:C61"/>
    <mergeCell ref="D61:E61"/>
    <mergeCell ref="B62:C62"/>
    <mergeCell ref="D62:E62"/>
    <mergeCell ref="B63:C63"/>
    <mergeCell ref="D63:E63"/>
    <mergeCell ref="B58:C58"/>
    <mergeCell ref="D58:E58"/>
    <mergeCell ref="B59:C59"/>
    <mergeCell ref="D59:E59"/>
    <mergeCell ref="B60:C60"/>
    <mergeCell ref="D60:E60"/>
    <mergeCell ref="B67:C67"/>
    <mergeCell ref="D67:E67"/>
    <mergeCell ref="B68:C68"/>
    <mergeCell ref="D68:E68"/>
    <mergeCell ref="B69:C69"/>
    <mergeCell ref="D69:E69"/>
    <mergeCell ref="B64:C64"/>
    <mergeCell ref="D64:E64"/>
    <mergeCell ref="B65:C65"/>
    <mergeCell ref="D65:E65"/>
    <mergeCell ref="B66:C66"/>
    <mergeCell ref="D66:E66"/>
    <mergeCell ref="B73:C73"/>
    <mergeCell ref="D73:E73"/>
    <mergeCell ref="B74:C74"/>
    <mergeCell ref="D74:E74"/>
    <mergeCell ref="B75:C75"/>
    <mergeCell ref="D75:E75"/>
    <mergeCell ref="B70:C70"/>
    <mergeCell ref="D70:E70"/>
    <mergeCell ref="B71:C71"/>
    <mergeCell ref="D71:E71"/>
    <mergeCell ref="B72:C72"/>
    <mergeCell ref="D72:E72"/>
    <mergeCell ref="B79:C79"/>
    <mergeCell ref="D79:E79"/>
    <mergeCell ref="B80:C80"/>
    <mergeCell ref="D80:E80"/>
    <mergeCell ref="B81:C81"/>
    <mergeCell ref="D81:E81"/>
    <mergeCell ref="B76:C76"/>
    <mergeCell ref="D76:E76"/>
    <mergeCell ref="B77:C77"/>
    <mergeCell ref="D77:E77"/>
    <mergeCell ref="B78:C78"/>
    <mergeCell ref="D78:E78"/>
    <mergeCell ref="B85:C85"/>
    <mergeCell ref="D85:E85"/>
    <mergeCell ref="B86:C86"/>
    <mergeCell ref="D86:E86"/>
    <mergeCell ref="B87:C87"/>
    <mergeCell ref="D87:E87"/>
    <mergeCell ref="B82:C82"/>
    <mergeCell ref="D82:E82"/>
    <mergeCell ref="B83:C83"/>
    <mergeCell ref="D83:E83"/>
    <mergeCell ref="B84:C84"/>
    <mergeCell ref="D84:E84"/>
    <mergeCell ref="B91:C91"/>
    <mergeCell ref="D91:E91"/>
    <mergeCell ref="B92:C92"/>
    <mergeCell ref="D92:E92"/>
    <mergeCell ref="B93:C93"/>
    <mergeCell ref="D93:E93"/>
    <mergeCell ref="B88:C88"/>
    <mergeCell ref="D88:E88"/>
    <mergeCell ref="B89:C89"/>
    <mergeCell ref="D89:E89"/>
    <mergeCell ref="B90:C90"/>
    <mergeCell ref="D90:E90"/>
    <mergeCell ref="B102:C102"/>
    <mergeCell ref="D102:E102"/>
    <mergeCell ref="B97:C97"/>
    <mergeCell ref="D97:E97"/>
    <mergeCell ref="B98:C98"/>
    <mergeCell ref="D98:E98"/>
    <mergeCell ref="B99:C99"/>
    <mergeCell ref="D99:E99"/>
    <mergeCell ref="B94:C94"/>
    <mergeCell ref="D94:E94"/>
    <mergeCell ref="B95:C95"/>
    <mergeCell ref="D95:E95"/>
    <mergeCell ref="B96:C96"/>
    <mergeCell ref="D96:E96"/>
    <mergeCell ref="K7:L7"/>
    <mergeCell ref="K8:L9"/>
    <mergeCell ref="B109:C109"/>
    <mergeCell ref="D109:E109"/>
    <mergeCell ref="B110:C110"/>
    <mergeCell ref="D110:E110"/>
    <mergeCell ref="B111:C111"/>
    <mergeCell ref="D111:E111"/>
    <mergeCell ref="B106:C106"/>
    <mergeCell ref="D106:E106"/>
    <mergeCell ref="B107:C107"/>
    <mergeCell ref="D107:E107"/>
    <mergeCell ref="B108:C108"/>
    <mergeCell ref="D108:E108"/>
    <mergeCell ref="B103:C103"/>
    <mergeCell ref="D103:E103"/>
    <mergeCell ref="B104:C104"/>
    <mergeCell ref="D104:E104"/>
    <mergeCell ref="B105:C105"/>
    <mergeCell ref="D105:E105"/>
    <mergeCell ref="B100:C100"/>
    <mergeCell ref="D100:E100"/>
    <mergeCell ref="B101:C101"/>
    <mergeCell ref="D101:E101"/>
  </mergeCells>
  <phoneticPr fontId="31" type="noConversion"/>
  <conditionalFormatting sqref="B10:G10">
    <cfRule type="expression" dxfId="207" priority="1">
      <formula>B$10=""</formula>
    </cfRule>
  </conditionalFormatting>
  <conditionalFormatting sqref="L12:L111">
    <cfRule type="expression" dxfId="203" priority="4">
      <formula>$L12="!"</formula>
    </cfRule>
  </conditionalFormatting>
  <dataValidations count="2">
    <dataValidation type="list" allowBlank="1" showInputMessage="1" showErrorMessage="1" sqref="D12:E111" xr:uid="{F8F68042-7EAE-4545-AD5A-EFA91AB99EF9}">
      <formula1>ActionPlan02</formula1>
    </dataValidation>
    <dataValidation type="list" allowBlank="1" showInputMessage="1" showErrorMessage="1" sqref="F12:F111" xr:uid="{6868B628-F565-44E8-B691-3EFE7B431316}">
      <formula1>DRangeEmployee</formula1>
    </dataValidation>
  </dataValidations>
  <hyperlinks>
    <hyperlink ref="B10" location="'AP1'!A1" display="'AP1'!A1" xr:uid="{CA81BEE6-058C-4478-B585-C911BE6E09FE}"/>
    <hyperlink ref="C10" location="'AP2'!A1" display="'AP2'!A1" xr:uid="{A23C5262-12B5-46E2-9B15-EFACDDBFF319}"/>
    <hyperlink ref="D10" location="'AP3'!A1" display="'AP3'!A1" xr:uid="{D88597E7-F455-40C4-A32C-8688122B470E}"/>
    <hyperlink ref="E10" location="'AP4'!A1" display="'AP4'!A1" xr:uid="{FA0DABC4-6617-475A-9EE9-84FBDC1553C5}"/>
    <hyperlink ref="F10" location="'AP5'!A1" display="'AP5'!A1" xr:uid="{9D3782F4-EE85-4FC8-8236-A5295EFA169F}"/>
    <hyperlink ref="G10" location="'AP6'!A1" display="'AP6'!A1" xr:uid="{B077E158-E7F6-4F8D-88C2-A6459CB01931}"/>
  </hyperlinks>
  <pageMargins left="0.25" right="0.25" top="0.75" bottom="0.75" header="0.3" footer="0.3"/>
  <pageSetup scale="77"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id="{F662FF57-CDBD-42BD-9B5F-585F8764C30B}">
            <xm:f>$K12=Data!$K$5</xm:f>
            <x14:dxf>
              <font>
                <color theme="1" tint="0.24994659260841701"/>
              </font>
              <fill>
                <patternFill>
                  <bgColor theme="0" tint="-4.9989318521683403E-2"/>
                </patternFill>
              </fill>
            </x14:dxf>
          </x14:cfRule>
          <x14:cfRule type="expression" priority="7" id="{435C90D5-7DA6-4166-8098-EA66598BF9C1}">
            <xm:f>$K12=Data!$K$3</xm:f>
            <x14:dxf>
              <font>
                <color theme="0"/>
              </font>
              <fill>
                <patternFill>
                  <bgColor rgb="FFF2C80F"/>
                </patternFill>
              </fill>
            </x14:dxf>
          </x14:cfRule>
          <x14:cfRule type="expression" priority="8" id="{C2B77F8B-9488-4C95-A21C-0F1B3D99C461}">
            <xm:f>$K12=Data!$K$2</xm:f>
            <x14:dxf>
              <font>
                <color theme="0"/>
              </font>
              <fill>
                <patternFill>
                  <bgColor rgb="FF55B03E"/>
                </patternFill>
              </fill>
            </x14:dxf>
          </x14:cfRule>
          <xm:sqref>K12:K111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EBD3F-3FC8-4C7B-B32B-95C50920A89F}">
  <dimension ref="A1:S112"/>
  <sheetViews>
    <sheetView showGridLines="0" showRowColHeaders="0" zoomScaleNormal="100" workbookViewId="0">
      <selection activeCell="J12" sqref="J12"/>
    </sheetView>
  </sheetViews>
  <sheetFormatPr baseColWidth="10" defaultColWidth="8.83203125" defaultRowHeight="15"/>
  <cols>
    <col min="1" max="1" width="2.6640625" style="290" customWidth="1"/>
    <col min="2" max="5" width="25.6640625" style="438" customWidth="1"/>
    <col min="6" max="6" width="30.6640625" style="438" customWidth="1"/>
    <col min="7" max="8" width="20.6640625" style="369" customWidth="1"/>
    <col min="9" max="9" width="7" style="369" hidden="1" customWidth="1"/>
    <col min="10" max="10" width="16.6640625" style="369" customWidth="1"/>
    <col min="11" max="11" width="14.6640625" style="369" customWidth="1"/>
    <col min="12" max="12" width="12.6640625" style="273" customWidth="1"/>
    <col min="13" max="16384" width="8.83203125" style="273"/>
  </cols>
  <sheetData>
    <row r="1" spans="1:19" s="249" customFormat="1" ht="39" customHeight="1">
      <c r="A1" s="248"/>
      <c r="B1" s="248"/>
      <c r="C1" s="248"/>
      <c r="D1" s="248"/>
      <c r="E1" s="248"/>
      <c r="F1" s="248"/>
      <c r="G1" s="248"/>
      <c r="H1" s="248"/>
      <c r="I1" s="248"/>
      <c r="J1" s="248"/>
      <c r="K1" s="248"/>
      <c r="L1" s="248"/>
      <c r="M1" s="248"/>
      <c r="N1" s="248"/>
      <c r="O1" s="248"/>
      <c r="P1" s="248"/>
      <c r="Q1" s="248"/>
      <c r="R1" s="248"/>
      <c r="S1" s="248"/>
    </row>
    <row r="2" spans="1:19" s="308" customFormat="1" ht="25" customHeight="1"/>
    <row r="3" spans="1:19" s="287" customFormat="1" ht="18" customHeight="1"/>
    <row r="4" spans="1:19" s="287" customFormat="1" ht="18" customHeight="1"/>
    <row r="5" spans="1:19" s="287" customFormat="1" ht="20" customHeight="1"/>
    <row r="6" spans="1:19" s="281" customFormat="1" ht="20" customHeight="1">
      <c r="A6" s="355"/>
      <c r="G6" s="278"/>
      <c r="H6" s="278"/>
      <c r="I6" s="278"/>
      <c r="J6" s="278"/>
      <c r="K6" s="278"/>
    </row>
    <row r="7" spans="1:19" s="281" customFormat="1" ht="20" customHeight="1">
      <c r="A7" s="355"/>
      <c r="B7" s="303" t="str">
        <f>Lan!F62&amp;" - "&amp;Goals!C14</f>
        <v>2.5. Plan de acción - Fortalecer el posicionamiento de la marca Caracolitos a nivel nacional.</v>
      </c>
      <c r="C7" s="359"/>
      <c r="D7" s="359"/>
      <c r="E7" s="359"/>
      <c r="F7" s="359"/>
      <c r="G7" s="359"/>
      <c r="H7" s="370"/>
      <c r="I7" s="370"/>
      <c r="J7" s="370"/>
      <c r="K7" s="509" t="str">
        <f>Lan!F69</f>
        <v>% Progreso</v>
      </c>
      <c r="L7" s="509"/>
    </row>
    <row r="8" spans="1:19" s="281" customFormat="1" ht="20" customHeight="1">
      <c r="A8" s="355"/>
      <c r="B8" s="320" t="str">
        <f>Lan!F44</f>
        <v>Los objetivos proporcionan hitos específicos con un cronograma específico para lograr una meta.</v>
      </c>
      <c r="C8" s="362"/>
      <c r="D8" s="362"/>
      <c r="E8" s="362"/>
      <c r="F8" s="371"/>
      <c r="G8" s="370"/>
      <c r="H8" s="370"/>
      <c r="I8" s="372"/>
      <c r="J8" s="370"/>
      <c r="K8" s="507">
        <f>IFERROR(AVERAGE(J12:J111),0)</f>
        <v>0.05</v>
      </c>
      <c r="L8" s="508"/>
    </row>
    <row r="9" spans="1:19" s="281" customFormat="1" ht="20" customHeight="1" thickBot="1">
      <c r="A9" s="355"/>
      <c r="B9" s="371"/>
      <c r="C9" s="371"/>
      <c r="D9" s="371"/>
      <c r="E9" s="371"/>
      <c r="F9" s="371"/>
      <c r="G9" s="370"/>
      <c r="H9" s="370"/>
      <c r="I9" s="370"/>
      <c r="J9" s="370"/>
      <c r="K9" s="508"/>
      <c r="L9" s="508"/>
    </row>
    <row r="10" spans="1:19" s="281" customFormat="1" ht="20" customHeight="1" thickTop="1" thickBot="1">
      <c r="A10" s="355"/>
      <c r="B10" s="419" t="str">
        <f>IF(Goals!C12="","",Goals!B12)</f>
        <v>Meta 1</v>
      </c>
      <c r="C10" s="419" t="str">
        <f>IF(Goals!C13="","",Goals!B13)</f>
        <v>Meta 2</v>
      </c>
      <c r="D10" s="420" t="str">
        <f>IF(Goals!C14="","",Goals!B14)</f>
        <v>Meta 3</v>
      </c>
      <c r="E10" s="419" t="str">
        <f>IF(Goals!C15="","",Goals!B15)</f>
        <v>Meta 4</v>
      </c>
      <c r="F10" s="419" t="str">
        <f>IF(Goals!C16="","",Goals!B16)</f>
        <v>Meta 5</v>
      </c>
      <c r="G10" s="419" t="str">
        <f>IF(Goals!C17="","",Goals!B17)</f>
        <v>Meta 6</v>
      </c>
      <c r="H10" s="53"/>
      <c r="I10" s="53"/>
      <c r="J10" s="370"/>
      <c r="K10" s="370"/>
      <c r="L10" s="371"/>
    </row>
    <row r="11" spans="1:19" s="281" customFormat="1" ht="30" customHeight="1" thickTop="1" thickBot="1">
      <c r="A11" s="355"/>
      <c r="B11" s="513" t="str">
        <f>Lan!$F$63</f>
        <v>Paso de acción</v>
      </c>
      <c r="C11" s="513"/>
      <c r="D11" s="513" t="str">
        <f>Lan!$F$64</f>
        <v>Objetivo asociado</v>
      </c>
      <c r="E11" s="516"/>
      <c r="F11" s="283" t="str">
        <f>Lan!$F$65</f>
        <v>Gerentes</v>
      </c>
      <c r="G11" s="283" t="str">
        <f>Lan!$F$67</f>
        <v>Fecha de inicio</v>
      </c>
      <c r="H11" s="377" t="str">
        <f>Lan!$F$68</f>
        <v>Fecha de vencimiento</v>
      </c>
      <c r="I11" s="377" t="str">
        <f>Lan!F75</f>
        <v>Hora de completar una tarea</v>
      </c>
      <c r="J11" s="376" t="str">
        <f>Lan!$F$69</f>
        <v>% Progreso</v>
      </c>
      <c r="K11" s="376" t="str">
        <f>Lan!$F$70</f>
        <v>Status</v>
      </c>
      <c r="L11" s="376" t="str">
        <f>Data!K4</f>
        <v>Atrasado</v>
      </c>
    </row>
    <row r="12" spans="1:19" s="281" customFormat="1" ht="27" customHeight="1">
      <c r="A12" s="355"/>
      <c r="B12" s="510" t="s">
        <v>358</v>
      </c>
      <c r="C12" s="510"/>
      <c r="D12" s="510" t="s">
        <v>342</v>
      </c>
      <c r="E12" s="510"/>
      <c r="F12" s="218" t="s">
        <v>354</v>
      </c>
      <c r="G12" s="426">
        <v>45839</v>
      </c>
      <c r="H12" s="426">
        <v>46203</v>
      </c>
      <c r="I12" s="443">
        <f>IFERROR(H12-G12,0)</f>
        <v>364</v>
      </c>
      <c r="J12" s="428">
        <v>0.1</v>
      </c>
      <c r="K12" s="446" t="str">
        <f>IF(B12="","",IF(J12=1,Data!$K$2,IF(J12=0,Data!$K$5,Data!$K$3)))</f>
        <v>En progreso</v>
      </c>
      <c r="L12" s="447" t="str">
        <f ca="1">IF(H12="","",IF(B12="","",IF(K12=Data!$K$2,"",IF(H12&lt;TODAY(),"!",""))))</f>
        <v/>
      </c>
    </row>
    <row r="13" spans="1:19" s="281" customFormat="1" ht="27" customHeight="1">
      <c r="A13" s="355"/>
      <c r="B13" s="510" t="s">
        <v>359</v>
      </c>
      <c r="C13" s="510"/>
      <c r="D13" s="510" t="s">
        <v>343</v>
      </c>
      <c r="E13" s="510"/>
      <c r="F13" s="218" t="s">
        <v>354</v>
      </c>
      <c r="G13" s="426">
        <v>45901</v>
      </c>
      <c r="H13" s="426">
        <v>45930</v>
      </c>
      <c r="I13" s="443">
        <f t="shared" ref="I13:I18" si="0">IFERROR(H13-G13,0)</f>
        <v>29</v>
      </c>
      <c r="J13" s="429">
        <v>0</v>
      </c>
      <c r="K13" s="446" t="str">
        <f>IF(B13="","",IF(J13=1,Data!$K$2,IF(J13=0,Data!$K$5,Data!$K$3)))</f>
        <v>No iniciado</v>
      </c>
      <c r="L13" s="448" t="str">
        <f ca="1">IF(H13="","",IF(B13="","",IF(K13=Data!$K$2,"",IF(H13&lt;TODAY(),"!",""))))</f>
        <v/>
      </c>
    </row>
    <row r="14" spans="1:19" s="281" customFormat="1" ht="27" customHeight="1">
      <c r="A14" s="355"/>
      <c r="B14" s="510"/>
      <c r="C14" s="510"/>
      <c r="D14" s="510"/>
      <c r="E14" s="510"/>
      <c r="F14" s="218"/>
      <c r="G14" s="426"/>
      <c r="H14" s="426"/>
      <c r="I14" s="443">
        <f t="shared" si="0"/>
        <v>0</v>
      </c>
      <c r="J14" s="429"/>
      <c r="K14" s="446" t="str">
        <f>IF(B14="","",IF(J14=1,Data!$K$2,IF(J14=0,Data!$K$5,Data!$K$3)))</f>
        <v/>
      </c>
      <c r="L14" s="448" t="str">
        <f ca="1">IF(H14="","",IF(B14="","",IF(K14=Data!$K$2,"",IF(H14&lt;TODAY(),"!",""))))</f>
        <v/>
      </c>
    </row>
    <row r="15" spans="1:19" s="281" customFormat="1" ht="27" customHeight="1">
      <c r="A15" s="355"/>
      <c r="B15" s="510"/>
      <c r="C15" s="510"/>
      <c r="D15" s="510"/>
      <c r="E15" s="510"/>
      <c r="F15" s="218"/>
      <c r="G15" s="426"/>
      <c r="H15" s="426"/>
      <c r="I15" s="443">
        <f t="shared" si="0"/>
        <v>0</v>
      </c>
      <c r="J15" s="429"/>
      <c r="K15" s="446" t="str">
        <f>IF(B15="","",IF(J15=1,Data!$K$2,IF(J15=0,Data!$K$5,Data!$K$3)))</f>
        <v/>
      </c>
      <c r="L15" s="448" t="str">
        <f ca="1">IF(H15="","",IF(B15="","",IF(K15=Data!$K$2,"",IF(H15&lt;TODAY(),"!",""))))</f>
        <v/>
      </c>
    </row>
    <row r="16" spans="1:19" s="281" customFormat="1" ht="27" customHeight="1">
      <c r="A16" s="355"/>
      <c r="B16" s="510"/>
      <c r="C16" s="510"/>
      <c r="D16" s="510"/>
      <c r="E16" s="510"/>
      <c r="F16" s="218"/>
      <c r="G16" s="426"/>
      <c r="H16" s="426"/>
      <c r="I16" s="443">
        <f t="shared" si="0"/>
        <v>0</v>
      </c>
      <c r="J16" s="429"/>
      <c r="K16" s="446" t="str">
        <f>IF(B16="","",IF(J16=1,Data!$K$2,IF(J16=0,Data!$K$5,Data!$K$3)))</f>
        <v/>
      </c>
      <c r="L16" s="448" t="str">
        <f ca="1">IF(H16="","",IF(B16="","",IF(K16=Data!$K$2,"",IF(H16&lt;TODAY(),"!",""))))</f>
        <v/>
      </c>
    </row>
    <row r="17" spans="1:12" s="281" customFormat="1" ht="27" customHeight="1">
      <c r="A17" s="355"/>
      <c r="B17" s="510"/>
      <c r="C17" s="510"/>
      <c r="D17" s="510"/>
      <c r="E17" s="510"/>
      <c r="F17" s="218"/>
      <c r="G17" s="426"/>
      <c r="H17" s="426"/>
      <c r="I17" s="443">
        <f t="shared" si="0"/>
        <v>0</v>
      </c>
      <c r="J17" s="429"/>
      <c r="K17" s="446" t="str">
        <f>IF(B17="","",IF(J17=1,Data!$K$2,IF(J17=0,Data!$K$5,Data!$K$3)))</f>
        <v/>
      </c>
      <c r="L17" s="448" t="str">
        <f ca="1">IF(H17="","",IF(B17="","",IF(K17=Data!$K$2,"",IF(H17&lt;TODAY(),"!",""))))</f>
        <v/>
      </c>
    </row>
    <row r="18" spans="1:12" s="281" customFormat="1" ht="27" customHeight="1">
      <c r="A18" s="355"/>
      <c r="B18" s="510"/>
      <c r="C18" s="510"/>
      <c r="D18" s="510"/>
      <c r="E18" s="510"/>
      <c r="F18" s="218"/>
      <c r="G18" s="426"/>
      <c r="H18" s="426"/>
      <c r="I18" s="443">
        <f t="shared" si="0"/>
        <v>0</v>
      </c>
      <c r="J18" s="429"/>
      <c r="K18" s="446" t="str">
        <f>IF(B18="","",IF(J18=1,Data!$K$2,IF(J18=0,Data!$K$5,Data!$K$3)))</f>
        <v/>
      </c>
      <c r="L18" s="448" t="str">
        <f ca="1">IF(H18="","",IF(B18="","",IF(K18=Data!$K$2,"",IF(H18&lt;TODAY(),"!",""))))</f>
        <v/>
      </c>
    </row>
    <row r="19" spans="1:12" s="281" customFormat="1" ht="27" customHeight="1">
      <c r="A19" s="355"/>
      <c r="B19" s="510"/>
      <c r="C19" s="510"/>
      <c r="D19" s="510"/>
      <c r="E19" s="510"/>
      <c r="F19" s="219"/>
      <c r="G19" s="426"/>
      <c r="H19" s="426"/>
      <c r="I19" s="443">
        <f t="shared" ref="I19" si="1">IFERROR(H19-G19,0)</f>
        <v>0</v>
      </c>
      <c r="J19" s="429"/>
      <c r="K19" s="446" t="str">
        <f>IF(B19="","",IF(J19=1,Data!$K$2,IF(J19=0,Data!$K$5,Data!$K$3)))</f>
        <v/>
      </c>
      <c r="L19" s="448" t="str">
        <f ca="1">IF(H19="","",IF(B19="","",IF(K19=Data!$K$2,"",IF(H19&lt;TODAY(),"!",""))))</f>
        <v/>
      </c>
    </row>
    <row r="20" spans="1:12" s="281" customFormat="1" ht="27" customHeight="1">
      <c r="A20" s="355"/>
      <c r="B20" s="515"/>
      <c r="C20" s="515"/>
      <c r="D20" s="510"/>
      <c r="E20" s="510"/>
      <c r="F20" s="430"/>
      <c r="G20" s="427"/>
      <c r="H20" s="427"/>
      <c r="I20" s="443">
        <f t="shared" ref="I20:I76" si="2">IFERROR(H20-G20,0)</f>
        <v>0</v>
      </c>
      <c r="J20" s="429"/>
      <c r="K20" s="446" t="str">
        <f>IF(B20="","",IF(J20=1,Data!$K$2,IF(J20=0,Data!$K$5,Data!$K$3)))</f>
        <v/>
      </c>
      <c r="L20" s="448" t="str">
        <f ca="1">IF(H20="","",IF(B20="","",IF(K20=Data!$K$2,"",IF(H20&lt;TODAY(),"!",""))))</f>
        <v/>
      </c>
    </row>
    <row r="21" spans="1:12" s="281" customFormat="1" ht="27" customHeight="1">
      <c r="A21" s="355"/>
      <c r="B21" s="515"/>
      <c r="C21" s="515"/>
      <c r="D21" s="510"/>
      <c r="E21" s="510"/>
      <c r="F21" s="430"/>
      <c r="G21" s="427"/>
      <c r="H21" s="427"/>
      <c r="I21" s="443">
        <f t="shared" si="2"/>
        <v>0</v>
      </c>
      <c r="J21" s="429"/>
      <c r="K21" s="446" t="str">
        <f>IF(B21="","",IF(J21=1,Data!$K$2,IF(J21=0,Data!$K$5,Data!$K$3)))</f>
        <v/>
      </c>
      <c r="L21" s="448" t="str">
        <f ca="1">IF(H21="","",IF(B21="","",IF(K21=Data!$K$2,"",IF(H21&lt;TODAY(),"!",""))))</f>
        <v/>
      </c>
    </row>
    <row r="22" spans="1:12" s="281" customFormat="1" ht="27" customHeight="1">
      <c r="A22" s="355"/>
      <c r="B22" s="515"/>
      <c r="C22" s="515"/>
      <c r="D22" s="510"/>
      <c r="E22" s="510"/>
      <c r="F22" s="430"/>
      <c r="G22" s="427"/>
      <c r="H22" s="427"/>
      <c r="I22" s="443">
        <f t="shared" si="2"/>
        <v>0</v>
      </c>
      <c r="J22" s="429"/>
      <c r="K22" s="446" t="str">
        <f>IF(B22="","",IF(J22=1,Data!$K$2,IF(J22=0,Data!$K$5,Data!$K$3)))</f>
        <v/>
      </c>
      <c r="L22" s="448" t="str">
        <f ca="1">IF(H22="","",IF(B22="","",IF(K22=Data!$K$2,"",IF(H22&lt;TODAY(),"!",""))))</f>
        <v/>
      </c>
    </row>
    <row r="23" spans="1:12" s="281" customFormat="1" ht="27" customHeight="1">
      <c r="A23" s="355"/>
      <c r="B23" s="515"/>
      <c r="C23" s="515"/>
      <c r="D23" s="510"/>
      <c r="E23" s="510"/>
      <c r="F23" s="430"/>
      <c r="G23" s="427"/>
      <c r="H23" s="427"/>
      <c r="I23" s="443">
        <f t="shared" si="2"/>
        <v>0</v>
      </c>
      <c r="J23" s="429"/>
      <c r="K23" s="446" t="str">
        <f>IF(B23="","",IF(J23=1,Data!$K$2,IF(J23=0,Data!$K$5,Data!$K$3)))</f>
        <v/>
      </c>
      <c r="L23" s="448" t="str">
        <f ca="1">IF(H23="","",IF(B23="","",IF(K23=Data!$K$2,"",IF(H23&lt;TODAY(),"!",""))))</f>
        <v/>
      </c>
    </row>
    <row r="24" spans="1:12" s="281" customFormat="1" ht="27" customHeight="1">
      <c r="A24" s="355"/>
      <c r="B24" s="515"/>
      <c r="C24" s="515"/>
      <c r="D24" s="510"/>
      <c r="E24" s="510"/>
      <c r="F24" s="430"/>
      <c r="G24" s="427"/>
      <c r="H24" s="427"/>
      <c r="I24" s="443">
        <f t="shared" si="2"/>
        <v>0</v>
      </c>
      <c r="J24" s="429"/>
      <c r="K24" s="446" t="str">
        <f>IF(B24="","",IF(J24=1,Data!$K$2,IF(J24=0,Data!$K$5,Data!$K$3)))</f>
        <v/>
      </c>
      <c r="L24" s="448" t="str">
        <f ca="1">IF(H24="","",IF(B24="","",IF(K24=Data!$K$2,"",IF(H24&lt;TODAY(),"!",""))))</f>
        <v/>
      </c>
    </row>
    <row r="25" spans="1:12" s="281" customFormat="1" ht="27" customHeight="1">
      <c r="A25" s="355"/>
      <c r="B25" s="515"/>
      <c r="C25" s="515"/>
      <c r="D25" s="510"/>
      <c r="E25" s="510"/>
      <c r="F25" s="430"/>
      <c r="G25" s="427"/>
      <c r="H25" s="427"/>
      <c r="I25" s="443">
        <f t="shared" si="2"/>
        <v>0</v>
      </c>
      <c r="J25" s="429"/>
      <c r="K25" s="446" t="str">
        <f>IF(B25="","",IF(J25=1,Data!$K$2,IF(J25=0,Data!$K$5,Data!$K$3)))</f>
        <v/>
      </c>
      <c r="L25" s="448" t="str">
        <f ca="1">IF(H25="","",IF(B25="","",IF(K25=Data!$K$2,"",IF(H25&lt;TODAY(),"!",""))))</f>
        <v/>
      </c>
    </row>
    <row r="26" spans="1:12" s="281" customFormat="1" ht="27" customHeight="1">
      <c r="A26" s="355"/>
      <c r="B26" s="515"/>
      <c r="C26" s="515"/>
      <c r="D26" s="510"/>
      <c r="E26" s="510"/>
      <c r="F26" s="430"/>
      <c r="G26" s="427"/>
      <c r="H26" s="427"/>
      <c r="I26" s="443">
        <f t="shared" si="2"/>
        <v>0</v>
      </c>
      <c r="J26" s="429"/>
      <c r="K26" s="446" t="str">
        <f>IF(B26="","",IF(J26=1,Data!$K$2,IF(J26=0,Data!$K$5,Data!$K$3)))</f>
        <v/>
      </c>
      <c r="L26" s="448" t="str">
        <f ca="1">IF(H26="","",IF(B26="","",IF(K26=Data!$K$2,"",IF(H26&lt;TODAY(),"!",""))))</f>
        <v/>
      </c>
    </row>
    <row r="27" spans="1:12" s="281" customFormat="1" ht="27" customHeight="1">
      <c r="A27" s="355"/>
      <c r="B27" s="515"/>
      <c r="C27" s="515"/>
      <c r="D27" s="510"/>
      <c r="E27" s="510"/>
      <c r="F27" s="430"/>
      <c r="G27" s="427"/>
      <c r="H27" s="427"/>
      <c r="I27" s="443">
        <f t="shared" si="2"/>
        <v>0</v>
      </c>
      <c r="J27" s="429"/>
      <c r="K27" s="446" t="str">
        <f>IF(B27="","",IF(J27=1,Data!$K$2,IF(J27=0,Data!$K$5,Data!$K$3)))</f>
        <v/>
      </c>
      <c r="L27" s="448" t="str">
        <f ca="1">IF(H27="","",IF(B27="","",IF(K27=Data!$K$2,"",IF(H27&lt;TODAY(),"!",""))))</f>
        <v/>
      </c>
    </row>
    <row r="28" spans="1:12" s="281" customFormat="1" ht="27" customHeight="1">
      <c r="A28" s="355"/>
      <c r="B28" s="515"/>
      <c r="C28" s="515"/>
      <c r="D28" s="510"/>
      <c r="E28" s="510"/>
      <c r="F28" s="430"/>
      <c r="G28" s="427"/>
      <c r="H28" s="427"/>
      <c r="I28" s="443">
        <f t="shared" si="2"/>
        <v>0</v>
      </c>
      <c r="J28" s="429"/>
      <c r="K28" s="446" t="str">
        <f>IF(B28="","",IF(J28=1,Data!$K$2,IF(J28=0,Data!$K$5,Data!$K$3)))</f>
        <v/>
      </c>
      <c r="L28" s="448" t="str">
        <f ca="1">IF(H28="","",IF(B28="","",IF(K28=Data!$K$2,"",IF(H28&lt;TODAY(),"!",""))))</f>
        <v/>
      </c>
    </row>
    <row r="29" spans="1:12" s="281" customFormat="1" ht="27" customHeight="1">
      <c r="A29" s="355"/>
      <c r="B29" s="515"/>
      <c r="C29" s="515"/>
      <c r="D29" s="510"/>
      <c r="E29" s="510"/>
      <c r="F29" s="430"/>
      <c r="G29" s="427"/>
      <c r="H29" s="427"/>
      <c r="I29" s="443">
        <f t="shared" si="2"/>
        <v>0</v>
      </c>
      <c r="J29" s="429"/>
      <c r="K29" s="446" t="str">
        <f>IF(B29="","",IF(J29=1,Data!$K$2,IF(J29=0,Data!$K$5,Data!$K$3)))</f>
        <v/>
      </c>
      <c r="L29" s="448" t="str">
        <f ca="1">IF(H29="","",IF(B29="","",IF(K29=Data!$K$2,"",IF(H29&lt;TODAY(),"!",""))))</f>
        <v/>
      </c>
    </row>
    <row r="30" spans="1:12" s="281" customFormat="1" ht="27" customHeight="1">
      <c r="A30" s="355"/>
      <c r="B30" s="515"/>
      <c r="C30" s="515"/>
      <c r="D30" s="510"/>
      <c r="E30" s="510"/>
      <c r="F30" s="430"/>
      <c r="G30" s="427"/>
      <c r="H30" s="427"/>
      <c r="I30" s="443">
        <f t="shared" si="2"/>
        <v>0</v>
      </c>
      <c r="J30" s="429"/>
      <c r="K30" s="446" t="str">
        <f>IF(B30="","",IF(J30=1,Data!$K$2,IF(J30=0,Data!$K$5,Data!$K$3)))</f>
        <v/>
      </c>
      <c r="L30" s="448" t="str">
        <f ca="1">IF(H30="","",IF(B30="","",IF(K30=Data!$K$2,"",IF(H30&lt;TODAY(),"!",""))))</f>
        <v/>
      </c>
    </row>
    <row r="31" spans="1:12" s="281" customFormat="1" ht="27" customHeight="1">
      <c r="A31" s="355"/>
      <c r="B31" s="515"/>
      <c r="C31" s="515"/>
      <c r="D31" s="510"/>
      <c r="E31" s="510"/>
      <c r="F31" s="430"/>
      <c r="G31" s="427"/>
      <c r="H31" s="427"/>
      <c r="I31" s="443">
        <f t="shared" si="2"/>
        <v>0</v>
      </c>
      <c r="J31" s="429"/>
      <c r="K31" s="446" t="str">
        <f>IF(B31="","",IF(J31=1,Data!$K$2,IF(J31=0,Data!$K$5,Data!$K$3)))</f>
        <v/>
      </c>
      <c r="L31" s="448" t="str">
        <f ca="1">IF(H31="","",IF(B31="","",IF(K31=Data!$K$2,"",IF(H31&lt;TODAY(),"!",""))))</f>
        <v/>
      </c>
    </row>
    <row r="32" spans="1:12" s="281" customFormat="1" ht="27" customHeight="1">
      <c r="A32" s="355"/>
      <c r="B32" s="515"/>
      <c r="C32" s="515"/>
      <c r="D32" s="510"/>
      <c r="E32" s="510"/>
      <c r="F32" s="430"/>
      <c r="G32" s="427"/>
      <c r="H32" s="427"/>
      <c r="I32" s="443">
        <f t="shared" si="2"/>
        <v>0</v>
      </c>
      <c r="J32" s="429"/>
      <c r="K32" s="446" t="str">
        <f>IF(B32="","",IF(J32=1,Data!$K$2,IF(J32=0,Data!$K$5,Data!$K$3)))</f>
        <v/>
      </c>
      <c r="L32" s="448" t="str">
        <f ca="1">IF(H32="","",IF(B32="","",IF(K32=Data!$K$2,"",IF(H32&lt;TODAY(),"!",""))))</f>
        <v/>
      </c>
    </row>
    <row r="33" spans="1:12" s="281" customFormat="1" ht="27" customHeight="1">
      <c r="A33" s="355"/>
      <c r="B33" s="515"/>
      <c r="C33" s="515"/>
      <c r="D33" s="510"/>
      <c r="E33" s="510"/>
      <c r="F33" s="430"/>
      <c r="G33" s="427"/>
      <c r="H33" s="427"/>
      <c r="I33" s="443">
        <f t="shared" si="2"/>
        <v>0</v>
      </c>
      <c r="J33" s="429"/>
      <c r="K33" s="446" t="str">
        <f>IF(B33="","",IF(J33=1,Data!$K$2,IF(J33=0,Data!$K$5,Data!$K$3)))</f>
        <v/>
      </c>
      <c r="L33" s="448" t="str">
        <f ca="1">IF(H33="","",IF(B33="","",IF(K33=Data!$K$2,"",IF(H33&lt;TODAY(),"!",""))))</f>
        <v/>
      </c>
    </row>
    <row r="34" spans="1:12" s="281" customFormat="1" ht="27" customHeight="1">
      <c r="A34" s="355"/>
      <c r="B34" s="515"/>
      <c r="C34" s="515"/>
      <c r="D34" s="510"/>
      <c r="E34" s="510"/>
      <c r="F34" s="430"/>
      <c r="G34" s="427"/>
      <c r="H34" s="427"/>
      <c r="I34" s="443">
        <f t="shared" si="2"/>
        <v>0</v>
      </c>
      <c r="J34" s="429"/>
      <c r="K34" s="446" t="str">
        <f>IF(B34="","",IF(J34=1,Data!$K$2,IF(J34=0,Data!$K$5,Data!$K$3)))</f>
        <v/>
      </c>
      <c r="L34" s="448" t="str">
        <f ca="1">IF(H34="","",IF(B34="","",IF(K34=Data!$K$2,"",IF(H34&lt;TODAY(),"!",""))))</f>
        <v/>
      </c>
    </row>
    <row r="35" spans="1:12" s="281" customFormat="1" ht="27" customHeight="1">
      <c r="A35" s="355"/>
      <c r="B35" s="515"/>
      <c r="C35" s="515"/>
      <c r="D35" s="510"/>
      <c r="E35" s="510"/>
      <c r="F35" s="430"/>
      <c r="G35" s="427"/>
      <c r="H35" s="427"/>
      <c r="I35" s="443">
        <f t="shared" si="2"/>
        <v>0</v>
      </c>
      <c r="J35" s="429"/>
      <c r="K35" s="446" t="str">
        <f>IF(B35="","",IF(J35=1,Data!$K$2,IF(J35=0,Data!$K$5,Data!$K$3)))</f>
        <v/>
      </c>
      <c r="L35" s="448" t="str">
        <f ca="1">IF(H35="","",IF(B35="","",IF(K35=Data!$K$2,"",IF(H35&lt;TODAY(),"!",""))))</f>
        <v/>
      </c>
    </row>
    <row r="36" spans="1:12" s="281" customFormat="1" ht="27" customHeight="1">
      <c r="A36" s="355"/>
      <c r="B36" s="515"/>
      <c r="C36" s="515"/>
      <c r="D36" s="510"/>
      <c r="E36" s="510"/>
      <c r="F36" s="430"/>
      <c r="G36" s="427"/>
      <c r="H36" s="427"/>
      <c r="I36" s="443">
        <f t="shared" si="2"/>
        <v>0</v>
      </c>
      <c r="J36" s="429"/>
      <c r="K36" s="446" t="str">
        <f>IF(B36="","",IF(J36=1,Data!$K$2,IF(J36=0,Data!$K$5,Data!$K$3)))</f>
        <v/>
      </c>
      <c r="L36" s="448" t="str">
        <f ca="1">IF(H36="","",IF(B36="","",IF(K36=Data!$K$2,"",IF(H36&lt;TODAY(),"!",""))))</f>
        <v/>
      </c>
    </row>
    <row r="37" spans="1:12" s="281" customFormat="1" ht="27" customHeight="1">
      <c r="A37" s="355"/>
      <c r="B37" s="515"/>
      <c r="C37" s="515"/>
      <c r="D37" s="510"/>
      <c r="E37" s="510"/>
      <c r="F37" s="430"/>
      <c r="G37" s="427"/>
      <c r="H37" s="427"/>
      <c r="I37" s="443">
        <f t="shared" si="2"/>
        <v>0</v>
      </c>
      <c r="J37" s="429"/>
      <c r="K37" s="446" t="str">
        <f>IF(B37="","",IF(J37=1,Data!$K$2,IF(J37=0,Data!$K$5,Data!$K$3)))</f>
        <v/>
      </c>
      <c r="L37" s="448" t="str">
        <f ca="1">IF(H37="","",IF(B37="","",IF(K37=Data!$K$2,"",IF(H37&lt;TODAY(),"!",""))))</f>
        <v/>
      </c>
    </row>
    <row r="38" spans="1:12" s="281" customFormat="1" ht="27" customHeight="1">
      <c r="A38" s="355"/>
      <c r="B38" s="515"/>
      <c r="C38" s="515"/>
      <c r="D38" s="510"/>
      <c r="E38" s="510"/>
      <c r="F38" s="430"/>
      <c r="G38" s="427"/>
      <c r="H38" s="427"/>
      <c r="I38" s="443">
        <f t="shared" si="2"/>
        <v>0</v>
      </c>
      <c r="J38" s="429"/>
      <c r="K38" s="446" t="str">
        <f>IF(B38="","",IF(J38=1,Data!$K$2,IF(J38=0,Data!$K$5,Data!$K$3)))</f>
        <v/>
      </c>
      <c r="L38" s="448" t="str">
        <f ca="1">IF(H38="","",IF(B38="","",IF(K38=Data!$K$2,"",IF(H38&lt;TODAY(),"!",""))))</f>
        <v/>
      </c>
    </row>
    <row r="39" spans="1:12" s="281" customFormat="1" ht="27" customHeight="1">
      <c r="A39" s="355"/>
      <c r="B39" s="515"/>
      <c r="C39" s="515"/>
      <c r="D39" s="510"/>
      <c r="E39" s="510"/>
      <c r="F39" s="430"/>
      <c r="G39" s="427"/>
      <c r="H39" s="427"/>
      <c r="I39" s="443">
        <f t="shared" si="2"/>
        <v>0</v>
      </c>
      <c r="J39" s="429"/>
      <c r="K39" s="446" t="str">
        <f>IF(B39="","",IF(J39=1,Data!$K$2,IF(J39=0,Data!$K$5,Data!$K$3)))</f>
        <v/>
      </c>
      <c r="L39" s="448" t="str">
        <f ca="1">IF(H39="","",IF(B39="","",IF(K39=Data!$K$2,"",IF(H39&lt;TODAY(),"!",""))))</f>
        <v/>
      </c>
    </row>
    <row r="40" spans="1:12" s="281" customFormat="1" ht="27" customHeight="1">
      <c r="A40" s="355"/>
      <c r="B40" s="515"/>
      <c r="C40" s="515"/>
      <c r="D40" s="510"/>
      <c r="E40" s="510"/>
      <c r="F40" s="430"/>
      <c r="G40" s="427"/>
      <c r="H40" s="427"/>
      <c r="I40" s="443">
        <f t="shared" si="2"/>
        <v>0</v>
      </c>
      <c r="J40" s="429"/>
      <c r="K40" s="446" t="str">
        <f>IF(B40="","",IF(J40=1,Data!$K$2,IF(J40=0,Data!$K$5,Data!$K$3)))</f>
        <v/>
      </c>
      <c r="L40" s="448" t="str">
        <f ca="1">IF(H40="","",IF(B40="","",IF(K40=Data!$K$2,"",IF(H40&lt;TODAY(),"!",""))))</f>
        <v/>
      </c>
    </row>
    <row r="41" spans="1:12" s="281" customFormat="1" ht="27" customHeight="1">
      <c r="A41" s="355"/>
      <c r="B41" s="515"/>
      <c r="C41" s="515"/>
      <c r="D41" s="510"/>
      <c r="E41" s="510"/>
      <c r="F41" s="430"/>
      <c r="G41" s="427"/>
      <c r="H41" s="427"/>
      <c r="I41" s="443">
        <f t="shared" si="2"/>
        <v>0</v>
      </c>
      <c r="J41" s="429"/>
      <c r="K41" s="446" t="str">
        <f>IF(B41="","",IF(J41=1,Data!$K$2,IF(J41=0,Data!$K$5,Data!$K$3)))</f>
        <v/>
      </c>
      <c r="L41" s="448" t="str">
        <f ca="1">IF(H41="","",IF(B41="","",IF(K41=Data!$K$2,"",IF(H41&lt;TODAY(),"!",""))))</f>
        <v/>
      </c>
    </row>
    <row r="42" spans="1:12" s="281" customFormat="1" ht="27" customHeight="1">
      <c r="A42" s="355"/>
      <c r="B42" s="515"/>
      <c r="C42" s="515"/>
      <c r="D42" s="510"/>
      <c r="E42" s="510"/>
      <c r="F42" s="430"/>
      <c r="G42" s="427"/>
      <c r="H42" s="427"/>
      <c r="I42" s="443">
        <f t="shared" si="2"/>
        <v>0</v>
      </c>
      <c r="J42" s="429"/>
      <c r="K42" s="446" t="str">
        <f>IF(B42="","",IF(J42=1,Data!$K$2,IF(J42=0,Data!$K$5,Data!$K$3)))</f>
        <v/>
      </c>
      <c r="L42" s="448" t="str">
        <f ca="1">IF(H42="","",IF(B42="","",IF(K42=Data!$K$2,"",IF(H42&lt;TODAY(),"!",""))))</f>
        <v/>
      </c>
    </row>
    <row r="43" spans="1:12" s="281" customFormat="1" ht="27" customHeight="1">
      <c r="A43" s="355"/>
      <c r="B43" s="515"/>
      <c r="C43" s="515"/>
      <c r="D43" s="510"/>
      <c r="E43" s="510"/>
      <c r="F43" s="430"/>
      <c r="G43" s="427"/>
      <c r="H43" s="427"/>
      <c r="I43" s="443">
        <f t="shared" si="2"/>
        <v>0</v>
      </c>
      <c r="J43" s="429"/>
      <c r="K43" s="446" t="str">
        <f>IF(B43="","",IF(J43=1,Data!$K$2,IF(J43=0,Data!$K$5,Data!$K$3)))</f>
        <v/>
      </c>
      <c r="L43" s="448" t="str">
        <f ca="1">IF(H43="","",IF(B43="","",IF(K43=Data!$K$2,"",IF(H43&lt;TODAY(),"!",""))))</f>
        <v/>
      </c>
    </row>
    <row r="44" spans="1:12" s="281" customFormat="1" ht="27" customHeight="1">
      <c r="A44" s="355"/>
      <c r="B44" s="515"/>
      <c r="C44" s="515"/>
      <c r="D44" s="510"/>
      <c r="E44" s="510"/>
      <c r="F44" s="430"/>
      <c r="G44" s="427"/>
      <c r="H44" s="427"/>
      <c r="I44" s="443">
        <f t="shared" si="2"/>
        <v>0</v>
      </c>
      <c r="J44" s="429"/>
      <c r="K44" s="446" t="str">
        <f>IF(B44="","",IF(J44=1,Data!$K$2,IF(J44=0,Data!$K$5,Data!$K$3)))</f>
        <v/>
      </c>
      <c r="L44" s="448" t="str">
        <f ca="1">IF(H44="","",IF(B44="","",IF(K44=Data!$K$2,"",IF(H44&lt;TODAY(),"!",""))))</f>
        <v/>
      </c>
    </row>
    <row r="45" spans="1:12" s="281" customFormat="1" ht="27" customHeight="1">
      <c r="A45" s="355"/>
      <c r="B45" s="515"/>
      <c r="C45" s="515"/>
      <c r="D45" s="510"/>
      <c r="E45" s="510"/>
      <c r="F45" s="430"/>
      <c r="G45" s="427"/>
      <c r="H45" s="427"/>
      <c r="I45" s="443">
        <f t="shared" si="2"/>
        <v>0</v>
      </c>
      <c r="J45" s="429"/>
      <c r="K45" s="446" t="str">
        <f>IF(B45="","",IF(J45=1,Data!$K$2,IF(J45=0,Data!$K$5,Data!$K$3)))</f>
        <v/>
      </c>
      <c r="L45" s="448" t="str">
        <f ca="1">IF(H45="","",IF(B45="","",IF(K45=Data!$K$2,"",IF(H45&lt;TODAY(),"!",""))))</f>
        <v/>
      </c>
    </row>
    <row r="46" spans="1:12" s="281" customFormat="1" ht="27" customHeight="1">
      <c r="A46" s="355"/>
      <c r="B46" s="515"/>
      <c r="C46" s="515"/>
      <c r="D46" s="510"/>
      <c r="E46" s="510"/>
      <c r="F46" s="430"/>
      <c r="G46" s="427"/>
      <c r="H46" s="427"/>
      <c r="I46" s="443">
        <f t="shared" si="2"/>
        <v>0</v>
      </c>
      <c r="J46" s="429"/>
      <c r="K46" s="446" t="str">
        <f>IF(B46="","",IF(J46=1,Data!$K$2,IF(J46=0,Data!$K$5,Data!$K$3)))</f>
        <v/>
      </c>
      <c r="L46" s="448" t="str">
        <f ca="1">IF(H46="","",IF(B46="","",IF(K46=Data!$K$2,"",IF(H46&lt;TODAY(),"!",""))))</f>
        <v/>
      </c>
    </row>
    <row r="47" spans="1:12" s="281" customFormat="1" ht="27" customHeight="1">
      <c r="A47" s="355"/>
      <c r="B47" s="515"/>
      <c r="C47" s="515"/>
      <c r="D47" s="510"/>
      <c r="E47" s="510"/>
      <c r="F47" s="430"/>
      <c r="G47" s="427"/>
      <c r="H47" s="427"/>
      <c r="I47" s="443">
        <f t="shared" si="2"/>
        <v>0</v>
      </c>
      <c r="J47" s="429"/>
      <c r="K47" s="446" t="str">
        <f>IF(B47="","",IF(J47=1,Data!$K$2,IF(J47=0,Data!$K$5,Data!$K$3)))</f>
        <v/>
      </c>
      <c r="L47" s="448" t="str">
        <f ca="1">IF(H47="","",IF(B47="","",IF(K47=Data!$K$2,"",IF(H47&lt;TODAY(),"!",""))))</f>
        <v/>
      </c>
    </row>
    <row r="48" spans="1:12" s="281" customFormat="1" ht="27" customHeight="1">
      <c r="A48" s="355"/>
      <c r="B48" s="515"/>
      <c r="C48" s="515"/>
      <c r="D48" s="510"/>
      <c r="E48" s="510"/>
      <c r="F48" s="430"/>
      <c r="G48" s="427"/>
      <c r="H48" s="427"/>
      <c r="I48" s="443">
        <f t="shared" si="2"/>
        <v>0</v>
      </c>
      <c r="J48" s="429"/>
      <c r="K48" s="446" t="str">
        <f>IF(B48="","",IF(J48=1,Data!$K$2,IF(J48=0,Data!$K$5,Data!$K$3)))</f>
        <v/>
      </c>
      <c r="L48" s="448" t="str">
        <f ca="1">IF(H48="","",IF(B48="","",IF(K48=Data!$K$2,"",IF(H48&lt;TODAY(),"!",""))))</f>
        <v/>
      </c>
    </row>
    <row r="49" spans="1:12" s="281" customFormat="1" ht="27" customHeight="1">
      <c r="A49" s="355"/>
      <c r="B49" s="515"/>
      <c r="C49" s="515"/>
      <c r="D49" s="510"/>
      <c r="E49" s="510"/>
      <c r="F49" s="430"/>
      <c r="G49" s="427"/>
      <c r="H49" s="427"/>
      <c r="I49" s="443">
        <f t="shared" si="2"/>
        <v>0</v>
      </c>
      <c r="J49" s="429"/>
      <c r="K49" s="446" t="str">
        <f>IF(B49="","",IF(J49=1,Data!$K$2,IF(J49=0,Data!$K$5,Data!$K$3)))</f>
        <v/>
      </c>
      <c r="L49" s="448" t="str">
        <f ca="1">IF(H49="","",IF(B49="","",IF(K49=Data!$K$2,"",IF(H49&lt;TODAY(),"!",""))))</f>
        <v/>
      </c>
    </row>
    <row r="50" spans="1:12" s="281" customFormat="1" ht="27" customHeight="1">
      <c r="A50" s="355"/>
      <c r="B50" s="515"/>
      <c r="C50" s="515"/>
      <c r="D50" s="510"/>
      <c r="E50" s="510"/>
      <c r="F50" s="430"/>
      <c r="G50" s="427"/>
      <c r="H50" s="427"/>
      <c r="I50" s="443">
        <f t="shared" si="2"/>
        <v>0</v>
      </c>
      <c r="J50" s="429"/>
      <c r="K50" s="446" t="str">
        <f>IF(B50="","",IF(J50=1,Data!$K$2,IF(J50=0,Data!$K$5,Data!$K$3)))</f>
        <v/>
      </c>
      <c r="L50" s="448" t="str">
        <f ca="1">IF(H50="","",IF(B50="","",IF(K50=Data!$K$2,"",IF(H50&lt;TODAY(),"!",""))))</f>
        <v/>
      </c>
    </row>
    <row r="51" spans="1:12" s="281" customFormat="1" ht="27" customHeight="1">
      <c r="A51" s="355"/>
      <c r="B51" s="515"/>
      <c r="C51" s="515"/>
      <c r="D51" s="510"/>
      <c r="E51" s="510"/>
      <c r="F51" s="430"/>
      <c r="G51" s="427"/>
      <c r="H51" s="427"/>
      <c r="I51" s="443">
        <f t="shared" si="2"/>
        <v>0</v>
      </c>
      <c r="J51" s="429"/>
      <c r="K51" s="446" t="str">
        <f>IF(B51="","",IF(J51=1,Data!$K$2,IF(J51=0,Data!$K$5,Data!$K$3)))</f>
        <v/>
      </c>
      <c r="L51" s="448" t="str">
        <f ca="1">IF(H51="","",IF(B51="","",IF(K51=Data!$K$2,"",IF(H51&lt;TODAY(),"!",""))))</f>
        <v/>
      </c>
    </row>
    <row r="52" spans="1:12" s="281" customFormat="1" ht="27" customHeight="1">
      <c r="A52" s="355"/>
      <c r="B52" s="515"/>
      <c r="C52" s="515"/>
      <c r="D52" s="510"/>
      <c r="E52" s="510"/>
      <c r="F52" s="430"/>
      <c r="G52" s="427"/>
      <c r="H52" s="427"/>
      <c r="I52" s="443">
        <f t="shared" si="2"/>
        <v>0</v>
      </c>
      <c r="J52" s="429"/>
      <c r="K52" s="446" t="str">
        <f>IF(B52="","",IF(J52=1,Data!$K$2,IF(J52=0,Data!$K$5,Data!$K$3)))</f>
        <v/>
      </c>
      <c r="L52" s="448" t="str">
        <f ca="1">IF(H52="","",IF(B52="","",IF(K52=Data!$K$2,"",IF(H52&lt;TODAY(),"!",""))))</f>
        <v/>
      </c>
    </row>
    <row r="53" spans="1:12" s="281" customFormat="1" ht="27" customHeight="1">
      <c r="A53" s="355"/>
      <c r="B53" s="515"/>
      <c r="C53" s="515"/>
      <c r="D53" s="510"/>
      <c r="E53" s="510"/>
      <c r="F53" s="430"/>
      <c r="G53" s="427"/>
      <c r="H53" s="427"/>
      <c r="I53" s="443">
        <f t="shared" si="2"/>
        <v>0</v>
      </c>
      <c r="J53" s="429"/>
      <c r="K53" s="446" t="str">
        <f>IF(B53="","",IF(J53=1,Data!$K$2,IF(J53=0,Data!$K$5,Data!$K$3)))</f>
        <v/>
      </c>
      <c r="L53" s="448" t="str">
        <f ca="1">IF(H53="","",IF(B53="","",IF(K53=Data!$K$2,"",IF(H53&lt;TODAY(),"!",""))))</f>
        <v/>
      </c>
    </row>
    <row r="54" spans="1:12" s="281" customFormat="1" ht="27" customHeight="1">
      <c r="A54" s="355"/>
      <c r="B54" s="515"/>
      <c r="C54" s="515"/>
      <c r="D54" s="510"/>
      <c r="E54" s="510"/>
      <c r="F54" s="430"/>
      <c r="G54" s="427"/>
      <c r="H54" s="427"/>
      <c r="I54" s="443">
        <f t="shared" si="2"/>
        <v>0</v>
      </c>
      <c r="J54" s="429"/>
      <c r="K54" s="446" t="str">
        <f>IF(B54="","",IF(J54=1,Data!$K$2,IF(J54=0,Data!$K$5,Data!$K$3)))</f>
        <v/>
      </c>
      <c r="L54" s="448" t="str">
        <f ca="1">IF(H54="","",IF(B54="","",IF(K54=Data!$K$2,"",IF(H54&lt;TODAY(),"!",""))))</f>
        <v/>
      </c>
    </row>
    <row r="55" spans="1:12" s="281" customFormat="1" ht="27" customHeight="1">
      <c r="A55" s="357"/>
      <c r="B55" s="515"/>
      <c r="C55" s="515"/>
      <c r="D55" s="510"/>
      <c r="E55" s="510"/>
      <c r="F55" s="430"/>
      <c r="G55" s="427"/>
      <c r="H55" s="427"/>
      <c r="I55" s="443">
        <f t="shared" si="2"/>
        <v>0</v>
      </c>
      <c r="J55" s="429"/>
      <c r="K55" s="446" t="str">
        <f>IF(B55="","",IF(J55=1,Data!$K$2,IF(J55=0,Data!$K$5,Data!$K$3)))</f>
        <v/>
      </c>
      <c r="L55" s="448" t="str">
        <f ca="1">IF(H55="","",IF(B55="","",IF(K55=Data!$K$2,"",IF(H55&lt;TODAY(),"!",""))))</f>
        <v/>
      </c>
    </row>
    <row r="56" spans="1:12" s="281" customFormat="1" ht="27" customHeight="1">
      <c r="A56" s="357"/>
      <c r="B56" s="515"/>
      <c r="C56" s="515"/>
      <c r="D56" s="510"/>
      <c r="E56" s="510"/>
      <c r="F56" s="430"/>
      <c r="G56" s="427"/>
      <c r="H56" s="427"/>
      <c r="I56" s="443">
        <f t="shared" si="2"/>
        <v>0</v>
      </c>
      <c r="J56" s="429"/>
      <c r="K56" s="446" t="str">
        <f>IF(B56="","",IF(J56=1,Data!$K$2,IF(J56=0,Data!$K$5,Data!$K$3)))</f>
        <v/>
      </c>
      <c r="L56" s="448" t="str">
        <f ca="1">IF(H56="","",IF(B56="","",IF(K56=Data!$K$2,"",IF(H56&lt;TODAY(),"!",""))))</f>
        <v/>
      </c>
    </row>
    <row r="57" spans="1:12" s="281" customFormat="1" ht="27" customHeight="1">
      <c r="A57" s="357"/>
      <c r="B57" s="515"/>
      <c r="C57" s="515"/>
      <c r="D57" s="510"/>
      <c r="E57" s="510"/>
      <c r="F57" s="430"/>
      <c r="G57" s="427"/>
      <c r="H57" s="427"/>
      <c r="I57" s="443">
        <f t="shared" si="2"/>
        <v>0</v>
      </c>
      <c r="J57" s="429"/>
      <c r="K57" s="446" t="str">
        <f>IF(B57="","",IF(J57=1,Data!$K$2,IF(J57=0,Data!$K$5,Data!$K$3)))</f>
        <v/>
      </c>
      <c r="L57" s="448" t="str">
        <f ca="1">IF(H57="","",IF(B57="","",IF(K57=Data!$K$2,"",IF(H57&lt;TODAY(),"!",""))))</f>
        <v/>
      </c>
    </row>
    <row r="58" spans="1:12" s="281" customFormat="1" ht="27" customHeight="1">
      <c r="A58" s="357"/>
      <c r="B58" s="515"/>
      <c r="C58" s="515"/>
      <c r="D58" s="510"/>
      <c r="E58" s="510"/>
      <c r="F58" s="430"/>
      <c r="G58" s="427"/>
      <c r="H58" s="427"/>
      <c r="I58" s="443">
        <f t="shared" si="2"/>
        <v>0</v>
      </c>
      <c r="J58" s="429"/>
      <c r="K58" s="446" t="str">
        <f>IF(B58="","",IF(J58=1,Data!$K$2,IF(J58=0,Data!$K$5,Data!$K$3)))</f>
        <v/>
      </c>
      <c r="L58" s="448" t="str">
        <f ca="1">IF(H58="","",IF(B58="","",IF(K58=Data!$K$2,"",IF(H58&lt;TODAY(),"!",""))))</f>
        <v/>
      </c>
    </row>
    <row r="59" spans="1:12" s="281" customFormat="1" ht="27" customHeight="1">
      <c r="A59" s="357"/>
      <c r="B59" s="515"/>
      <c r="C59" s="515"/>
      <c r="D59" s="510"/>
      <c r="E59" s="510"/>
      <c r="F59" s="430"/>
      <c r="G59" s="427"/>
      <c r="H59" s="427"/>
      <c r="I59" s="443">
        <f t="shared" si="2"/>
        <v>0</v>
      </c>
      <c r="J59" s="429"/>
      <c r="K59" s="446" t="str">
        <f>IF(B59="","",IF(J59=1,Data!$K$2,IF(J59=0,Data!$K$5,Data!$K$3)))</f>
        <v/>
      </c>
      <c r="L59" s="448" t="str">
        <f ca="1">IF(H59="","",IF(B59="","",IF(K59=Data!$K$2,"",IF(H59&lt;TODAY(),"!",""))))</f>
        <v/>
      </c>
    </row>
    <row r="60" spans="1:12" s="281" customFormat="1" ht="27" customHeight="1">
      <c r="A60" s="357"/>
      <c r="B60" s="515"/>
      <c r="C60" s="515"/>
      <c r="D60" s="510"/>
      <c r="E60" s="510"/>
      <c r="F60" s="430"/>
      <c r="G60" s="427"/>
      <c r="H60" s="427"/>
      <c r="I60" s="443">
        <f t="shared" si="2"/>
        <v>0</v>
      </c>
      <c r="J60" s="429"/>
      <c r="K60" s="446" t="str">
        <f>IF(B60="","",IF(J60=1,Data!$K$2,IF(J60=0,Data!$K$5,Data!$K$3)))</f>
        <v/>
      </c>
      <c r="L60" s="448" t="str">
        <f ca="1">IF(H60="","",IF(B60="","",IF(K60=Data!$K$2,"",IF(H60&lt;TODAY(),"!",""))))</f>
        <v/>
      </c>
    </row>
    <row r="61" spans="1:12" s="281" customFormat="1" ht="27" customHeight="1">
      <c r="A61" s="357"/>
      <c r="B61" s="515"/>
      <c r="C61" s="515"/>
      <c r="D61" s="510"/>
      <c r="E61" s="510"/>
      <c r="F61" s="430"/>
      <c r="G61" s="427"/>
      <c r="H61" s="427"/>
      <c r="I61" s="443">
        <f t="shared" si="2"/>
        <v>0</v>
      </c>
      <c r="J61" s="429"/>
      <c r="K61" s="446" t="str">
        <f>IF(B61="","",IF(J61=1,Data!$K$2,IF(J61=0,Data!$K$5,Data!$K$3)))</f>
        <v/>
      </c>
      <c r="L61" s="448" t="str">
        <f ca="1">IF(H61="","",IF(B61="","",IF(K61=Data!$K$2,"",IF(H61&lt;TODAY(),"!",""))))</f>
        <v/>
      </c>
    </row>
    <row r="62" spans="1:12" s="281" customFormat="1" ht="27" customHeight="1">
      <c r="A62" s="357"/>
      <c r="B62" s="515"/>
      <c r="C62" s="515"/>
      <c r="D62" s="510"/>
      <c r="E62" s="510"/>
      <c r="F62" s="430"/>
      <c r="G62" s="427"/>
      <c r="H62" s="427"/>
      <c r="I62" s="443">
        <f t="shared" si="2"/>
        <v>0</v>
      </c>
      <c r="J62" s="429"/>
      <c r="K62" s="446" t="str">
        <f>IF(B62="","",IF(J62=1,Data!$K$2,IF(J62=0,Data!$K$5,Data!$K$3)))</f>
        <v/>
      </c>
      <c r="L62" s="448" t="str">
        <f ca="1">IF(H62="","",IF(B62="","",IF(K62=Data!$K$2,"",IF(H62&lt;TODAY(),"!",""))))</f>
        <v/>
      </c>
    </row>
    <row r="63" spans="1:12" s="281" customFormat="1" ht="27" customHeight="1">
      <c r="A63" s="357"/>
      <c r="B63" s="515"/>
      <c r="C63" s="515"/>
      <c r="D63" s="510"/>
      <c r="E63" s="510"/>
      <c r="F63" s="430"/>
      <c r="G63" s="427"/>
      <c r="H63" s="427"/>
      <c r="I63" s="443">
        <f t="shared" si="2"/>
        <v>0</v>
      </c>
      <c r="J63" s="429"/>
      <c r="K63" s="446" t="str">
        <f>IF(B63="","",IF(J63=1,Data!$K$2,IF(J63=0,Data!$K$5,Data!$K$3)))</f>
        <v/>
      </c>
      <c r="L63" s="448" t="str">
        <f ca="1">IF(H63="","",IF(B63="","",IF(K63=Data!$K$2,"",IF(H63&lt;TODAY(),"!",""))))</f>
        <v/>
      </c>
    </row>
    <row r="64" spans="1:12" s="281" customFormat="1" ht="27" customHeight="1">
      <c r="A64" s="357"/>
      <c r="B64" s="515"/>
      <c r="C64" s="515"/>
      <c r="D64" s="510"/>
      <c r="E64" s="510"/>
      <c r="F64" s="430"/>
      <c r="G64" s="427"/>
      <c r="H64" s="427"/>
      <c r="I64" s="443">
        <f t="shared" si="2"/>
        <v>0</v>
      </c>
      <c r="J64" s="429"/>
      <c r="K64" s="446" t="str">
        <f>IF(B64="","",IF(J64=1,Data!$K$2,IF(J64=0,Data!$K$5,Data!$K$3)))</f>
        <v/>
      </c>
      <c r="L64" s="448" t="str">
        <f ca="1">IF(H64="","",IF(B64="","",IF(K64=Data!$K$2,"",IF(H64&lt;TODAY(),"!",""))))</f>
        <v/>
      </c>
    </row>
    <row r="65" spans="1:12" s="281" customFormat="1" ht="27" customHeight="1">
      <c r="A65" s="357"/>
      <c r="B65" s="515"/>
      <c r="C65" s="515"/>
      <c r="D65" s="510"/>
      <c r="E65" s="510"/>
      <c r="F65" s="430"/>
      <c r="G65" s="427"/>
      <c r="H65" s="427"/>
      <c r="I65" s="443">
        <f t="shared" si="2"/>
        <v>0</v>
      </c>
      <c r="J65" s="429"/>
      <c r="K65" s="446" t="str">
        <f>IF(B65="","",IF(J65=1,Data!$K$2,IF(J65=0,Data!$K$5,Data!$K$3)))</f>
        <v/>
      </c>
      <c r="L65" s="448" t="str">
        <f ca="1">IF(H65="","",IF(B65="","",IF(K65=Data!$K$2,"",IF(H65&lt;TODAY(),"!",""))))</f>
        <v/>
      </c>
    </row>
    <row r="66" spans="1:12" s="281" customFormat="1" ht="27" customHeight="1">
      <c r="A66" s="357"/>
      <c r="B66" s="515"/>
      <c r="C66" s="515"/>
      <c r="D66" s="510"/>
      <c r="E66" s="510"/>
      <c r="F66" s="430"/>
      <c r="G66" s="427"/>
      <c r="H66" s="427"/>
      <c r="I66" s="443">
        <f t="shared" si="2"/>
        <v>0</v>
      </c>
      <c r="J66" s="429"/>
      <c r="K66" s="446" t="str">
        <f>IF(B66="","",IF(J66=1,Data!$K$2,IF(J66=0,Data!$K$5,Data!$K$3)))</f>
        <v/>
      </c>
      <c r="L66" s="448" t="str">
        <f ca="1">IF(H66="","",IF(B66="","",IF(K66=Data!$K$2,"",IF(H66&lt;TODAY(),"!",""))))</f>
        <v/>
      </c>
    </row>
    <row r="67" spans="1:12" s="281" customFormat="1" ht="27" customHeight="1">
      <c r="A67" s="357"/>
      <c r="B67" s="515"/>
      <c r="C67" s="515"/>
      <c r="D67" s="510"/>
      <c r="E67" s="510"/>
      <c r="F67" s="430"/>
      <c r="G67" s="427"/>
      <c r="H67" s="427"/>
      <c r="I67" s="443">
        <f t="shared" si="2"/>
        <v>0</v>
      </c>
      <c r="J67" s="429"/>
      <c r="K67" s="446" t="str">
        <f>IF(B67="","",IF(J67=1,Data!$K$2,IF(J67=0,Data!$K$5,Data!$K$3)))</f>
        <v/>
      </c>
      <c r="L67" s="448" t="str">
        <f ca="1">IF(H67="","",IF(B67="","",IF(K67=Data!$K$2,"",IF(H67&lt;TODAY(),"!",""))))</f>
        <v/>
      </c>
    </row>
    <row r="68" spans="1:12" ht="27" customHeight="1">
      <c r="B68" s="515"/>
      <c r="C68" s="515"/>
      <c r="D68" s="510"/>
      <c r="E68" s="510"/>
      <c r="F68" s="432"/>
      <c r="G68" s="433"/>
      <c r="H68" s="433"/>
      <c r="I68" s="444">
        <f t="shared" si="2"/>
        <v>0</v>
      </c>
      <c r="J68" s="434"/>
      <c r="K68" s="446" t="str">
        <f>IF(B68="","",IF(J68=1,Data!$K$2,IF(J68=0,Data!$K$5,Data!$K$3)))</f>
        <v/>
      </c>
      <c r="L68" s="448" t="str">
        <f ca="1">IF(H68="","",IF(B68="","",IF(K68=Data!$K$2,"",IF(H68&lt;TODAY(),"!",""))))</f>
        <v/>
      </c>
    </row>
    <row r="69" spans="1:12" ht="27" customHeight="1">
      <c r="B69" s="515"/>
      <c r="C69" s="515"/>
      <c r="D69" s="510"/>
      <c r="E69" s="510"/>
      <c r="F69" s="432"/>
      <c r="G69" s="433"/>
      <c r="H69" s="433"/>
      <c r="I69" s="444">
        <f t="shared" si="2"/>
        <v>0</v>
      </c>
      <c r="J69" s="434"/>
      <c r="K69" s="446" t="str">
        <f>IF(B69="","",IF(J69=1,Data!$K$2,IF(J69=0,Data!$K$5,Data!$K$3)))</f>
        <v/>
      </c>
      <c r="L69" s="448" t="str">
        <f ca="1">IF(H69="","",IF(B69="","",IF(K69=Data!$K$2,"",IF(H69&lt;TODAY(),"!",""))))</f>
        <v/>
      </c>
    </row>
    <row r="70" spans="1:12" ht="27" customHeight="1">
      <c r="B70" s="515"/>
      <c r="C70" s="515"/>
      <c r="D70" s="510"/>
      <c r="E70" s="510"/>
      <c r="F70" s="432"/>
      <c r="G70" s="433"/>
      <c r="H70" s="433"/>
      <c r="I70" s="444">
        <f t="shared" si="2"/>
        <v>0</v>
      </c>
      <c r="J70" s="434"/>
      <c r="K70" s="446" t="str">
        <f>IF(B70="","",IF(J70=1,Data!$K$2,IF(J70=0,Data!$K$5,Data!$K$3)))</f>
        <v/>
      </c>
      <c r="L70" s="448" t="str">
        <f ca="1">IF(H70="","",IF(B70="","",IF(K70=Data!$K$2,"",IF(H70&lt;TODAY(),"!",""))))</f>
        <v/>
      </c>
    </row>
    <row r="71" spans="1:12" ht="27" customHeight="1">
      <c r="B71" s="515"/>
      <c r="C71" s="515"/>
      <c r="D71" s="510"/>
      <c r="E71" s="510"/>
      <c r="F71" s="432"/>
      <c r="G71" s="433"/>
      <c r="H71" s="433"/>
      <c r="I71" s="444">
        <f t="shared" si="2"/>
        <v>0</v>
      </c>
      <c r="J71" s="434"/>
      <c r="K71" s="446" t="str">
        <f>IF(B71="","",IF(J71=1,Data!$K$2,IF(J71=0,Data!$K$5,Data!$K$3)))</f>
        <v/>
      </c>
      <c r="L71" s="448" t="str">
        <f ca="1">IF(H71="","",IF(B71="","",IF(K71=Data!$K$2,"",IF(H71&lt;TODAY(),"!",""))))</f>
        <v/>
      </c>
    </row>
    <row r="72" spans="1:12" ht="27" customHeight="1">
      <c r="B72" s="515"/>
      <c r="C72" s="515"/>
      <c r="D72" s="510"/>
      <c r="E72" s="510"/>
      <c r="F72" s="432"/>
      <c r="G72" s="433"/>
      <c r="H72" s="433"/>
      <c r="I72" s="444">
        <f t="shared" si="2"/>
        <v>0</v>
      </c>
      <c r="J72" s="434"/>
      <c r="K72" s="446" t="str">
        <f>IF(B72="","",IF(J72=1,Data!$K$2,IF(J72=0,Data!$K$5,Data!$K$3)))</f>
        <v/>
      </c>
      <c r="L72" s="448" t="str">
        <f ca="1">IF(H72="","",IF(B72="","",IF(K72=Data!$K$2,"",IF(H72&lt;TODAY(),"!",""))))</f>
        <v/>
      </c>
    </row>
    <row r="73" spans="1:12" ht="27" customHeight="1">
      <c r="B73" s="515"/>
      <c r="C73" s="515"/>
      <c r="D73" s="510"/>
      <c r="E73" s="510"/>
      <c r="F73" s="432"/>
      <c r="G73" s="433"/>
      <c r="H73" s="433"/>
      <c r="I73" s="444">
        <f t="shared" si="2"/>
        <v>0</v>
      </c>
      <c r="J73" s="434"/>
      <c r="K73" s="446" t="str">
        <f>IF(B73="","",IF(J73=1,Data!$K$2,IF(J73=0,Data!$K$5,Data!$K$3)))</f>
        <v/>
      </c>
      <c r="L73" s="448" t="str">
        <f ca="1">IF(H73="","",IF(B73="","",IF(K73=Data!$K$2,"",IF(H73&lt;TODAY(),"!",""))))</f>
        <v/>
      </c>
    </row>
    <row r="74" spans="1:12" ht="27" customHeight="1">
      <c r="B74" s="515"/>
      <c r="C74" s="515"/>
      <c r="D74" s="510"/>
      <c r="E74" s="510"/>
      <c r="F74" s="432"/>
      <c r="G74" s="433"/>
      <c r="H74" s="433"/>
      <c r="I74" s="444">
        <f t="shared" si="2"/>
        <v>0</v>
      </c>
      <c r="J74" s="434"/>
      <c r="K74" s="446" t="str">
        <f>IF(B74="","",IF(J74=1,Data!$K$2,IF(J74=0,Data!$K$5,Data!$K$3)))</f>
        <v/>
      </c>
      <c r="L74" s="448" t="str">
        <f ca="1">IF(H74="","",IF(B74="","",IF(K74=Data!$K$2,"",IF(H74&lt;TODAY(),"!",""))))</f>
        <v/>
      </c>
    </row>
    <row r="75" spans="1:12" ht="27" customHeight="1">
      <c r="B75" s="515"/>
      <c r="C75" s="515"/>
      <c r="D75" s="510"/>
      <c r="E75" s="510"/>
      <c r="F75" s="432"/>
      <c r="G75" s="433"/>
      <c r="H75" s="433"/>
      <c r="I75" s="444">
        <f t="shared" si="2"/>
        <v>0</v>
      </c>
      <c r="J75" s="434"/>
      <c r="K75" s="446" t="str">
        <f>IF(B75="","",IF(J75=1,Data!$K$2,IF(J75=0,Data!$K$5,Data!$K$3)))</f>
        <v/>
      </c>
      <c r="L75" s="448" t="str">
        <f ca="1">IF(H75="","",IF(B75="","",IF(K75=Data!$K$2,"",IF(H75&lt;TODAY(),"!",""))))</f>
        <v/>
      </c>
    </row>
    <row r="76" spans="1:12" ht="27" customHeight="1">
      <c r="B76" s="515"/>
      <c r="C76" s="515"/>
      <c r="D76" s="510"/>
      <c r="E76" s="510"/>
      <c r="F76" s="432"/>
      <c r="G76" s="433"/>
      <c r="H76" s="433"/>
      <c r="I76" s="444">
        <f t="shared" si="2"/>
        <v>0</v>
      </c>
      <c r="J76" s="434"/>
      <c r="K76" s="446" t="str">
        <f>IF(B76="","",IF(J76=1,Data!$K$2,IF(J76=0,Data!$K$5,Data!$K$3)))</f>
        <v/>
      </c>
      <c r="L76" s="448" t="str">
        <f ca="1">IF(H76="","",IF(B76="","",IF(K76=Data!$K$2,"",IF(H76&lt;TODAY(),"!",""))))</f>
        <v/>
      </c>
    </row>
    <row r="77" spans="1:12" ht="27" customHeight="1">
      <c r="B77" s="515"/>
      <c r="C77" s="515"/>
      <c r="D77" s="510"/>
      <c r="E77" s="510"/>
      <c r="F77" s="432"/>
      <c r="G77" s="433"/>
      <c r="H77" s="433"/>
      <c r="I77" s="444">
        <f t="shared" ref="I77:I111" si="3">IFERROR(H77-G77,0)</f>
        <v>0</v>
      </c>
      <c r="J77" s="434"/>
      <c r="K77" s="446" t="str">
        <f>IF(B77="","",IF(J77=1,Data!$K$2,IF(J77=0,Data!$K$5,Data!$K$3)))</f>
        <v/>
      </c>
      <c r="L77" s="448" t="str">
        <f ca="1">IF(H77="","",IF(B77="","",IF(K77=Data!$K$2,"",IF(H77&lt;TODAY(),"!",""))))</f>
        <v/>
      </c>
    </row>
    <row r="78" spans="1:12" ht="27" customHeight="1">
      <c r="B78" s="515"/>
      <c r="C78" s="515"/>
      <c r="D78" s="510"/>
      <c r="E78" s="510"/>
      <c r="F78" s="432"/>
      <c r="G78" s="433"/>
      <c r="H78" s="433"/>
      <c r="I78" s="444">
        <f t="shared" si="3"/>
        <v>0</v>
      </c>
      <c r="J78" s="434"/>
      <c r="K78" s="446" t="str">
        <f>IF(B78="","",IF(J78=1,Data!$K$2,IF(J78=0,Data!$K$5,Data!$K$3)))</f>
        <v/>
      </c>
      <c r="L78" s="448" t="str">
        <f ca="1">IF(H78="","",IF(B78="","",IF(K78=Data!$K$2,"",IF(H78&lt;TODAY(),"!",""))))</f>
        <v/>
      </c>
    </row>
    <row r="79" spans="1:12" ht="27" customHeight="1">
      <c r="B79" s="515"/>
      <c r="C79" s="515"/>
      <c r="D79" s="510"/>
      <c r="E79" s="510"/>
      <c r="F79" s="432"/>
      <c r="G79" s="433"/>
      <c r="H79" s="433"/>
      <c r="I79" s="444">
        <f t="shared" si="3"/>
        <v>0</v>
      </c>
      <c r="J79" s="434"/>
      <c r="K79" s="446" t="str">
        <f>IF(B79="","",IF(J79=1,Data!$K$2,IF(J79=0,Data!$K$5,Data!$K$3)))</f>
        <v/>
      </c>
      <c r="L79" s="448" t="str">
        <f ca="1">IF(H79="","",IF(B79="","",IF(K79=Data!$K$2,"",IF(H79&lt;TODAY(),"!",""))))</f>
        <v/>
      </c>
    </row>
    <row r="80" spans="1:12" ht="27" customHeight="1">
      <c r="B80" s="515"/>
      <c r="C80" s="515"/>
      <c r="D80" s="510"/>
      <c r="E80" s="510"/>
      <c r="F80" s="432"/>
      <c r="G80" s="433"/>
      <c r="H80" s="433"/>
      <c r="I80" s="444">
        <f t="shared" si="3"/>
        <v>0</v>
      </c>
      <c r="J80" s="434"/>
      <c r="K80" s="446" t="str">
        <f>IF(B80="","",IF(J80=1,Data!$K$2,IF(J80=0,Data!$K$5,Data!$K$3)))</f>
        <v/>
      </c>
      <c r="L80" s="448" t="str">
        <f ca="1">IF(H80="","",IF(B80="","",IF(K80=Data!$K$2,"",IF(H80&lt;TODAY(),"!",""))))</f>
        <v/>
      </c>
    </row>
    <row r="81" spans="2:12" ht="27" customHeight="1">
      <c r="B81" s="515"/>
      <c r="C81" s="515"/>
      <c r="D81" s="510"/>
      <c r="E81" s="510"/>
      <c r="F81" s="432"/>
      <c r="G81" s="433"/>
      <c r="H81" s="433"/>
      <c r="I81" s="444">
        <f t="shared" si="3"/>
        <v>0</v>
      </c>
      <c r="J81" s="434"/>
      <c r="K81" s="446" t="str">
        <f>IF(B81="","",IF(J81=1,Data!$K$2,IF(J81=0,Data!$K$5,Data!$K$3)))</f>
        <v/>
      </c>
      <c r="L81" s="448" t="str">
        <f ca="1">IF(H81="","",IF(B81="","",IF(K81=Data!$K$2,"",IF(H81&lt;TODAY(),"!",""))))</f>
        <v/>
      </c>
    </row>
    <row r="82" spans="2:12" ht="27" customHeight="1">
      <c r="B82" s="515"/>
      <c r="C82" s="515"/>
      <c r="D82" s="510"/>
      <c r="E82" s="510"/>
      <c r="F82" s="432"/>
      <c r="G82" s="433"/>
      <c r="H82" s="433"/>
      <c r="I82" s="444">
        <f t="shared" si="3"/>
        <v>0</v>
      </c>
      <c r="J82" s="434"/>
      <c r="K82" s="446" t="str">
        <f>IF(B82="","",IF(J82=1,Data!$K$2,IF(J82=0,Data!$K$5,Data!$K$3)))</f>
        <v/>
      </c>
      <c r="L82" s="448" t="str">
        <f ca="1">IF(H82="","",IF(B82="","",IF(K82=Data!$K$2,"",IF(H82&lt;TODAY(),"!",""))))</f>
        <v/>
      </c>
    </row>
    <row r="83" spans="2:12" ht="27" customHeight="1">
      <c r="B83" s="515"/>
      <c r="C83" s="515"/>
      <c r="D83" s="510"/>
      <c r="E83" s="510"/>
      <c r="F83" s="432"/>
      <c r="G83" s="433"/>
      <c r="H83" s="433"/>
      <c r="I83" s="444">
        <f t="shared" si="3"/>
        <v>0</v>
      </c>
      <c r="J83" s="434"/>
      <c r="K83" s="446" t="str">
        <f>IF(B83="","",IF(J83=1,Data!$K$2,IF(J83=0,Data!$K$5,Data!$K$3)))</f>
        <v/>
      </c>
      <c r="L83" s="448" t="str">
        <f ca="1">IF(H83="","",IF(B83="","",IF(K83=Data!$K$2,"",IF(H83&lt;TODAY(),"!",""))))</f>
        <v/>
      </c>
    </row>
    <row r="84" spans="2:12" ht="27" customHeight="1">
      <c r="B84" s="515"/>
      <c r="C84" s="515"/>
      <c r="D84" s="510"/>
      <c r="E84" s="510"/>
      <c r="F84" s="432"/>
      <c r="G84" s="433"/>
      <c r="H84" s="433"/>
      <c r="I84" s="444">
        <f t="shared" si="3"/>
        <v>0</v>
      </c>
      <c r="J84" s="434"/>
      <c r="K84" s="446" t="str">
        <f>IF(B84="","",IF(J84=1,Data!$K$2,IF(J84=0,Data!$K$5,Data!$K$3)))</f>
        <v/>
      </c>
      <c r="L84" s="448" t="str">
        <f ca="1">IF(H84="","",IF(B84="","",IF(K84=Data!$K$2,"",IF(H84&lt;TODAY(),"!",""))))</f>
        <v/>
      </c>
    </row>
    <row r="85" spans="2:12" ht="27" customHeight="1">
      <c r="B85" s="515"/>
      <c r="C85" s="515"/>
      <c r="D85" s="510"/>
      <c r="E85" s="510"/>
      <c r="F85" s="432"/>
      <c r="G85" s="433"/>
      <c r="H85" s="433"/>
      <c r="I85" s="444">
        <f t="shared" si="3"/>
        <v>0</v>
      </c>
      <c r="J85" s="434"/>
      <c r="K85" s="446" t="str">
        <f>IF(B85="","",IF(J85=1,Data!$K$2,IF(J85=0,Data!$K$5,Data!$K$3)))</f>
        <v/>
      </c>
      <c r="L85" s="448" t="str">
        <f ca="1">IF(H85="","",IF(B85="","",IF(K85=Data!$K$2,"",IF(H85&lt;TODAY(),"!",""))))</f>
        <v/>
      </c>
    </row>
    <row r="86" spans="2:12" ht="27" customHeight="1">
      <c r="B86" s="515"/>
      <c r="C86" s="515"/>
      <c r="D86" s="510"/>
      <c r="E86" s="510"/>
      <c r="F86" s="432"/>
      <c r="G86" s="433"/>
      <c r="H86" s="433"/>
      <c r="I86" s="444">
        <f t="shared" si="3"/>
        <v>0</v>
      </c>
      <c r="J86" s="434"/>
      <c r="K86" s="446" t="str">
        <f>IF(B86="","",IF(J86=1,Data!$K$2,IF(J86=0,Data!$K$5,Data!$K$3)))</f>
        <v/>
      </c>
      <c r="L86" s="448" t="str">
        <f ca="1">IF(H86="","",IF(B86="","",IF(K86=Data!$K$2,"",IF(H86&lt;TODAY(),"!",""))))</f>
        <v/>
      </c>
    </row>
    <row r="87" spans="2:12" ht="27" customHeight="1">
      <c r="B87" s="515"/>
      <c r="C87" s="515"/>
      <c r="D87" s="510"/>
      <c r="E87" s="510"/>
      <c r="F87" s="432"/>
      <c r="G87" s="433"/>
      <c r="H87" s="433"/>
      <c r="I87" s="444">
        <f t="shared" si="3"/>
        <v>0</v>
      </c>
      <c r="J87" s="434"/>
      <c r="K87" s="446" t="str">
        <f>IF(B87="","",IF(J87=1,Data!$K$2,IF(J87=0,Data!$K$5,Data!$K$3)))</f>
        <v/>
      </c>
      <c r="L87" s="448" t="str">
        <f ca="1">IF(H87="","",IF(B87="","",IF(K87=Data!$K$2,"",IF(H87&lt;TODAY(),"!",""))))</f>
        <v/>
      </c>
    </row>
    <row r="88" spans="2:12" ht="27" customHeight="1">
      <c r="B88" s="515"/>
      <c r="C88" s="515"/>
      <c r="D88" s="510"/>
      <c r="E88" s="510"/>
      <c r="F88" s="432"/>
      <c r="G88" s="433"/>
      <c r="H88" s="433"/>
      <c r="I88" s="444">
        <f t="shared" si="3"/>
        <v>0</v>
      </c>
      <c r="J88" s="434"/>
      <c r="K88" s="446" t="str">
        <f>IF(B88="","",IF(J88=1,Data!$K$2,IF(J88=0,Data!$K$5,Data!$K$3)))</f>
        <v/>
      </c>
      <c r="L88" s="448" t="str">
        <f ca="1">IF(H88="","",IF(B88="","",IF(K88=Data!$K$2,"",IF(H88&lt;TODAY(),"!",""))))</f>
        <v/>
      </c>
    </row>
    <row r="89" spans="2:12" ht="27" customHeight="1">
      <c r="B89" s="515"/>
      <c r="C89" s="515"/>
      <c r="D89" s="510"/>
      <c r="E89" s="510"/>
      <c r="F89" s="432"/>
      <c r="G89" s="433"/>
      <c r="H89" s="433"/>
      <c r="I89" s="444">
        <f t="shared" si="3"/>
        <v>0</v>
      </c>
      <c r="J89" s="434"/>
      <c r="K89" s="446" t="str">
        <f>IF(B89="","",IF(J89=1,Data!$K$2,IF(J89=0,Data!$K$5,Data!$K$3)))</f>
        <v/>
      </c>
      <c r="L89" s="448" t="str">
        <f ca="1">IF(H89="","",IF(B89="","",IF(K89=Data!$K$2,"",IF(H89&lt;TODAY(),"!",""))))</f>
        <v/>
      </c>
    </row>
    <row r="90" spans="2:12" ht="27" customHeight="1">
      <c r="B90" s="515"/>
      <c r="C90" s="515"/>
      <c r="D90" s="510"/>
      <c r="E90" s="510"/>
      <c r="F90" s="432"/>
      <c r="G90" s="433"/>
      <c r="H90" s="433"/>
      <c r="I90" s="444">
        <f t="shared" si="3"/>
        <v>0</v>
      </c>
      <c r="J90" s="434"/>
      <c r="K90" s="446" t="str">
        <f>IF(B90="","",IF(J90=1,Data!$K$2,IF(J90=0,Data!$K$5,Data!$K$3)))</f>
        <v/>
      </c>
      <c r="L90" s="448" t="str">
        <f ca="1">IF(H90="","",IF(B90="","",IF(K90=Data!$K$2,"",IF(H90&lt;TODAY(),"!",""))))</f>
        <v/>
      </c>
    </row>
    <row r="91" spans="2:12" ht="27" customHeight="1">
      <c r="B91" s="515"/>
      <c r="C91" s="515"/>
      <c r="D91" s="510"/>
      <c r="E91" s="510"/>
      <c r="F91" s="432"/>
      <c r="G91" s="433"/>
      <c r="H91" s="433"/>
      <c r="I91" s="444">
        <f t="shared" si="3"/>
        <v>0</v>
      </c>
      <c r="J91" s="434"/>
      <c r="K91" s="446" t="str">
        <f>IF(B91="","",IF(J91=1,Data!$K$2,IF(J91=0,Data!$K$5,Data!$K$3)))</f>
        <v/>
      </c>
      <c r="L91" s="448" t="str">
        <f ca="1">IF(H91="","",IF(B91="","",IF(K91=Data!$K$2,"",IF(H91&lt;TODAY(),"!",""))))</f>
        <v/>
      </c>
    </row>
    <row r="92" spans="2:12" ht="27" customHeight="1">
      <c r="B92" s="515"/>
      <c r="C92" s="515"/>
      <c r="D92" s="510"/>
      <c r="E92" s="510"/>
      <c r="F92" s="432"/>
      <c r="G92" s="433"/>
      <c r="H92" s="433"/>
      <c r="I92" s="444">
        <f t="shared" si="3"/>
        <v>0</v>
      </c>
      <c r="J92" s="434"/>
      <c r="K92" s="446" t="str">
        <f>IF(B92="","",IF(J92=1,Data!$K$2,IF(J92=0,Data!$K$5,Data!$K$3)))</f>
        <v/>
      </c>
      <c r="L92" s="448" t="str">
        <f ca="1">IF(H92="","",IF(B92="","",IF(K92=Data!$K$2,"",IF(H92&lt;TODAY(),"!",""))))</f>
        <v/>
      </c>
    </row>
    <row r="93" spans="2:12" ht="27" customHeight="1">
      <c r="B93" s="515"/>
      <c r="C93" s="515"/>
      <c r="D93" s="510"/>
      <c r="E93" s="510"/>
      <c r="F93" s="432"/>
      <c r="G93" s="433"/>
      <c r="H93" s="433"/>
      <c r="I93" s="444">
        <f t="shared" si="3"/>
        <v>0</v>
      </c>
      <c r="J93" s="434"/>
      <c r="K93" s="446" t="str">
        <f>IF(B93="","",IF(J93=1,Data!$K$2,IF(J93=0,Data!$K$5,Data!$K$3)))</f>
        <v/>
      </c>
      <c r="L93" s="448" t="str">
        <f ca="1">IF(H93="","",IF(B93="","",IF(K93=Data!$K$2,"",IF(H93&lt;TODAY(),"!",""))))</f>
        <v/>
      </c>
    </row>
    <row r="94" spans="2:12" ht="27" customHeight="1">
      <c r="B94" s="515"/>
      <c r="C94" s="515"/>
      <c r="D94" s="510"/>
      <c r="E94" s="510"/>
      <c r="F94" s="432"/>
      <c r="G94" s="433"/>
      <c r="H94" s="433"/>
      <c r="I94" s="444">
        <f t="shared" si="3"/>
        <v>0</v>
      </c>
      <c r="J94" s="434"/>
      <c r="K94" s="446" t="str">
        <f>IF(B94="","",IF(J94=1,Data!$K$2,IF(J94=0,Data!$K$5,Data!$K$3)))</f>
        <v/>
      </c>
      <c r="L94" s="448" t="str">
        <f ca="1">IF(H94="","",IF(B94="","",IF(K94=Data!$K$2,"",IF(H94&lt;TODAY(),"!",""))))</f>
        <v/>
      </c>
    </row>
    <row r="95" spans="2:12" ht="27" customHeight="1">
      <c r="B95" s="515"/>
      <c r="C95" s="515"/>
      <c r="D95" s="510"/>
      <c r="E95" s="510"/>
      <c r="F95" s="432"/>
      <c r="G95" s="433"/>
      <c r="H95" s="433"/>
      <c r="I95" s="444">
        <f t="shared" si="3"/>
        <v>0</v>
      </c>
      <c r="J95" s="434"/>
      <c r="K95" s="446" t="str">
        <f>IF(B95="","",IF(J95=1,Data!$K$2,IF(J95=0,Data!$K$5,Data!$K$3)))</f>
        <v/>
      </c>
      <c r="L95" s="448" t="str">
        <f ca="1">IF(H95="","",IF(B95="","",IF(K95=Data!$K$2,"",IF(H95&lt;TODAY(),"!",""))))</f>
        <v/>
      </c>
    </row>
    <row r="96" spans="2:12" ht="27" customHeight="1">
      <c r="B96" s="515"/>
      <c r="C96" s="515"/>
      <c r="D96" s="510"/>
      <c r="E96" s="510"/>
      <c r="F96" s="432"/>
      <c r="G96" s="433"/>
      <c r="H96" s="433"/>
      <c r="I96" s="444">
        <f t="shared" si="3"/>
        <v>0</v>
      </c>
      <c r="J96" s="434"/>
      <c r="K96" s="446" t="str">
        <f>IF(B96="","",IF(J96=1,Data!$K$2,IF(J96=0,Data!$K$5,Data!$K$3)))</f>
        <v/>
      </c>
      <c r="L96" s="448" t="str">
        <f ca="1">IF(H96="","",IF(B96="","",IF(K96=Data!$K$2,"",IF(H96&lt;TODAY(),"!",""))))</f>
        <v/>
      </c>
    </row>
    <row r="97" spans="2:12" ht="27" customHeight="1">
      <c r="B97" s="515"/>
      <c r="C97" s="515"/>
      <c r="D97" s="510"/>
      <c r="E97" s="510"/>
      <c r="F97" s="432"/>
      <c r="G97" s="433"/>
      <c r="H97" s="433"/>
      <c r="I97" s="444">
        <f t="shared" si="3"/>
        <v>0</v>
      </c>
      <c r="J97" s="434"/>
      <c r="K97" s="446" t="str">
        <f>IF(B97="","",IF(J97=1,Data!$K$2,IF(J97=0,Data!$K$5,Data!$K$3)))</f>
        <v/>
      </c>
      <c r="L97" s="448" t="str">
        <f ca="1">IF(H97="","",IF(B97="","",IF(K97=Data!$K$2,"",IF(H97&lt;TODAY(),"!",""))))</f>
        <v/>
      </c>
    </row>
    <row r="98" spans="2:12" ht="27" customHeight="1">
      <c r="B98" s="515"/>
      <c r="C98" s="515"/>
      <c r="D98" s="510"/>
      <c r="E98" s="510"/>
      <c r="F98" s="432"/>
      <c r="G98" s="433"/>
      <c r="H98" s="433"/>
      <c r="I98" s="444">
        <f t="shared" si="3"/>
        <v>0</v>
      </c>
      <c r="J98" s="434"/>
      <c r="K98" s="446" t="str">
        <f>IF(B98="","",IF(J98=1,Data!$K$2,IF(J98=0,Data!$K$5,Data!$K$3)))</f>
        <v/>
      </c>
      <c r="L98" s="448" t="str">
        <f ca="1">IF(H98="","",IF(B98="","",IF(K98=Data!$K$2,"",IF(H98&lt;TODAY(),"!",""))))</f>
        <v/>
      </c>
    </row>
    <row r="99" spans="2:12" ht="27" customHeight="1">
      <c r="B99" s="515"/>
      <c r="C99" s="515"/>
      <c r="D99" s="510"/>
      <c r="E99" s="510"/>
      <c r="F99" s="432"/>
      <c r="G99" s="433"/>
      <c r="H99" s="433"/>
      <c r="I99" s="444">
        <f t="shared" si="3"/>
        <v>0</v>
      </c>
      <c r="J99" s="434"/>
      <c r="K99" s="446" t="str">
        <f>IF(B99="","",IF(J99=1,Data!$K$2,IF(J99=0,Data!$K$5,Data!$K$3)))</f>
        <v/>
      </c>
      <c r="L99" s="448" t="str">
        <f ca="1">IF(H99="","",IF(B99="","",IF(K99=Data!$K$2,"",IF(H99&lt;TODAY(),"!",""))))</f>
        <v/>
      </c>
    </row>
    <row r="100" spans="2:12" ht="27" customHeight="1">
      <c r="B100" s="515"/>
      <c r="C100" s="515"/>
      <c r="D100" s="510"/>
      <c r="E100" s="510"/>
      <c r="F100" s="432"/>
      <c r="G100" s="433"/>
      <c r="H100" s="433"/>
      <c r="I100" s="444">
        <f t="shared" si="3"/>
        <v>0</v>
      </c>
      <c r="J100" s="434"/>
      <c r="K100" s="446" t="str">
        <f>IF(B100="","",IF(J100=1,Data!$K$2,IF(J100=0,Data!$K$5,Data!$K$3)))</f>
        <v/>
      </c>
      <c r="L100" s="448" t="str">
        <f ca="1">IF(H100="","",IF(B100="","",IF(K100=Data!$K$2,"",IF(H100&lt;TODAY(),"!",""))))</f>
        <v/>
      </c>
    </row>
    <row r="101" spans="2:12" ht="27" customHeight="1">
      <c r="B101" s="515"/>
      <c r="C101" s="515"/>
      <c r="D101" s="510"/>
      <c r="E101" s="510"/>
      <c r="F101" s="432"/>
      <c r="G101" s="433"/>
      <c r="H101" s="433"/>
      <c r="I101" s="444">
        <f t="shared" si="3"/>
        <v>0</v>
      </c>
      <c r="J101" s="434"/>
      <c r="K101" s="446" t="str">
        <f>IF(B101="","",IF(J101=1,Data!$K$2,IF(J101=0,Data!$K$5,Data!$K$3)))</f>
        <v/>
      </c>
      <c r="L101" s="448" t="str">
        <f ca="1">IF(H101="","",IF(B101="","",IF(K101=Data!$K$2,"",IF(H101&lt;TODAY(),"!",""))))</f>
        <v/>
      </c>
    </row>
    <row r="102" spans="2:12" ht="27" customHeight="1">
      <c r="B102" s="515"/>
      <c r="C102" s="515"/>
      <c r="D102" s="510"/>
      <c r="E102" s="510"/>
      <c r="F102" s="432"/>
      <c r="G102" s="433"/>
      <c r="H102" s="433"/>
      <c r="I102" s="444">
        <f t="shared" si="3"/>
        <v>0</v>
      </c>
      <c r="J102" s="434"/>
      <c r="K102" s="446" t="str">
        <f>IF(B102="","",IF(J102=1,Data!$K$2,IF(J102=0,Data!$K$5,Data!$K$3)))</f>
        <v/>
      </c>
      <c r="L102" s="448" t="str">
        <f ca="1">IF(H102="","",IF(B102="","",IF(K102=Data!$K$2,"",IF(H102&lt;TODAY(),"!",""))))</f>
        <v/>
      </c>
    </row>
    <row r="103" spans="2:12" ht="27" customHeight="1">
      <c r="B103" s="515"/>
      <c r="C103" s="515"/>
      <c r="D103" s="510"/>
      <c r="E103" s="510"/>
      <c r="F103" s="432"/>
      <c r="G103" s="433"/>
      <c r="H103" s="433"/>
      <c r="I103" s="444">
        <f t="shared" si="3"/>
        <v>0</v>
      </c>
      <c r="J103" s="434"/>
      <c r="K103" s="446" t="str">
        <f>IF(B103="","",IF(J103=1,Data!$K$2,IF(J103=0,Data!$K$5,Data!$K$3)))</f>
        <v/>
      </c>
      <c r="L103" s="448" t="str">
        <f ca="1">IF(H103="","",IF(B103="","",IF(K103=Data!$K$2,"",IF(H103&lt;TODAY(),"!",""))))</f>
        <v/>
      </c>
    </row>
    <row r="104" spans="2:12" ht="27" customHeight="1">
      <c r="B104" s="515"/>
      <c r="C104" s="515"/>
      <c r="D104" s="510"/>
      <c r="E104" s="510"/>
      <c r="F104" s="432"/>
      <c r="G104" s="433"/>
      <c r="H104" s="433"/>
      <c r="I104" s="444">
        <f t="shared" si="3"/>
        <v>0</v>
      </c>
      <c r="J104" s="434"/>
      <c r="K104" s="446" t="str">
        <f>IF(B104="","",IF(J104=1,Data!$K$2,IF(J104=0,Data!$K$5,Data!$K$3)))</f>
        <v/>
      </c>
      <c r="L104" s="448" t="str">
        <f ca="1">IF(H104="","",IF(B104="","",IF(K104=Data!$K$2,"",IF(H104&lt;TODAY(),"!",""))))</f>
        <v/>
      </c>
    </row>
    <row r="105" spans="2:12" ht="27" customHeight="1">
      <c r="B105" s="515"/>
      <c r="C105" s="515"/>
      <c r="D105" s="510"/>
      <c r="E105" s="510"/>
      <c r="F105" s="432"/>
      <c r="G105" s="433"/>
      <c r="H105" s="433"/>
      <c r="I105" s="444">
        <f t="shared" si="3"/>
        <v>0</v>
      </c>
      <c r="J105" s="434"/>
      <c r="K105" s="446" t="str">
        <f>IF(B105="","",IF(J105=1,Data!$K$2,IF(J105=0,Data!$K$5,Data!$K$3)))</f>
        <v/>
      </c>
      <c r="L105" s="448" t="str">
        <f ca="1">IF(H105="","",IF(B105="","",IF(K105=Data!$K$2,"",IF(H105&lt;TODAY(),"!",""))))</f>
        <v/>
      </c>
    </row>
    <row r="106" spans="2:12" ht="27" customHeight="1">
      <c r="B106" s="515"/>
      <c r="C106" s="515"/>
      <c r="D106" s="510"/>
      <c r="E106" s="510"/>
      <c r="F106" s="432"/>
      <c r="G106" s="433"/>
      <c r="H106" s="433"/>
      <c r="I106" s="444">
        <f t="shared" si="3"/>
        <v>0</v>
      </c>
      <c r="J106" s="434"/>
      <c r="K106" s="446" t="str">
        <f>IF(B106="","",IF(J106=1,Data!$K$2,IF(J106=0,Data!$K$5,Data!$K$3)))</f>
        <v/>
      </c>
      <c r="L106" s="448" t="str">
        <f ca="1">IF(H106="","",IF(B106="","",IF(K106=Data!$K$2,"",IF(H106&lt;TODAY(),"!",""))))</f>
        <v/>
      </c>
    </row>
    <row r="107" spans="2:12" ht="27" customHeight="1">
      <c r="B107" s="515"/>
      <c r="C107" s="515"/>
      <c r="D107" s="510"/>
      <c r="E107" s="510"/>
      <c r="F107" s="432"/>
      <c r="G107" s="433"/>
      <c r="H107" s="433"/>
      <c r="I107" s="444">
        <f t="shared" si="3"/>
        <v>0</v>
      </c>
      <c r="J107" s="434"/>
      <c r="K107" s="446" t="str">
        <f>IF(B107="","",IF(J107=1,Data!$K$2,IF(J107=0,Data!$K$5,Data!$K$3)))</f>
        <v/>
      </c>
      <c r="L107" s="448" t="str">
        <f ca="1">IF(H107="","",IF(B107="","",IF(K107=Data!$K$2,"",IF(H107&lt;TODAY(),"!",""))))</f>
        <v/>
      </c>
    </row>
    <row r="108" spans="2:12" ht="27" customHeight="1">
      <c r="B108" s="515"/>
      <c r="C108" s="515"/>
      <c r="D108" s="510"/>
      <c r="E108" s="510"/>
      <c r="F108" s="432"/>
      <c r="G108" s="433"/>
      <c r="H108" s="433"/>
      <c r="I108" s="444">
        <f t="shared" si="3"/>
        <v>0</v>
      </c>
      <c r="J108" s="434"/>
      <c r="K108" s="446" t="str">
        <f>IF(B108="","",IF(J108=1,Data!$K$2,IF(J108=0,Data!$K$5,Data!$K$3)))</f>
        <v/>
      </c>
      <c r="L108" s="448" t="str">
        <f ca="1">IF(H108="","",IF(B108="","",IF(K108=Data!$K$2,"",IF(H108&lt;TODAY(),"!",""))))</f>
        <v/>
      </c>
    </row>
    <row r="109" spans="2:12" ht="27" customHeight="1">
      <c r="B109" s="515"/>
      <c r="C109" s="515"/>
      <c r="D109" s="510"/>
      <c r="E109" s="510"/>
      <c r="F109" s="432"/>
      <c r="G109" s="433"/>
      <c r="H109" s="433"/>
      <c r="I109" s="444">
        <f t="shared" si="3"/>
        <v>0</v>
      </c>
      <c r="J109" s="434"/>
      <c r="K109" s="446" t="str">
        <f>IF(B109="","",IF(J109=1,Data!$K$2,IF(J109=0,Data!$K$5,Data!$K$3)))</f>
        <v/>
      </c>
      <c r="L109" s="448" t="str">
        <f ca="1">IF(H109="","",IF(B109="","",IF(K109=Data!$K$2,"",IF(H109&lt;TODAY(),"!",""))))</f>
        <v/>
      </c>
    </row>
    <row r="110" spans="2:12" ht="27" customHeight="1">
      <c r="B110" s="515"/>
      <c r="C110" s="515"/>
      <c r="D110" s="510"/>
      <c r="E110" s="510"/>
      <c r="F110" s="432"/>
      <c r="G110" s="433"/>
      <c r="H110" s="433"/>
      <c r="I110" s="444">
        <f t="shared" si="3"/>
        <v>0</v>
      </c>
      <c r="J110" s="434"/>
      <c r="K110" s="446" t="str">
        <f>IF(B110="","",IF(J110=1,Data!$K$2,IF(J110=0,Data!$K$5,Data!$K$3)))</f>
        <v/>
      </c>
      <c r="L110" s="448" t="str">
        <f ca="1">IF(H110="","",IF(B110="","",IF(K110=Data!$K$2,"",IF(H110&lt;TODAY(),"!",""))))</f>
        <v/>
      </c>
    </row>
    <row r="111" spans="2:12" ht="27" customHeight="1">
      <c r="B111" s="515"/>
      <c r="C111" s="515"/>
      <c r="D111" s="510"/>
      <c r="E111" s="510"/>
      <c r="F111" s="435"/>
      <c r="G111" s="436"/>
      <c r="H111" s="436"/>
      <c r="I111" s="445">
        <f t="shared" si="3"/>
        <v>0</v>
      </c>
      <c r="J111" s="437"/>
      <c r="K111" s="446" t="str">
        <f>IF(B111="","",IF(J111=1,Data!$K$2,IF(J111=0,Data!$K$5,Data!$K$3)))</f>
        <v/>
      </c>
      <c r="L111" s="448" t="str">
        <f ca="1">IF(H111="","",IF(B111="","",IF(K111=Data!$K$2,"",IF(H111&lt;TODAY(),"!",""))))</f>
        <v/>
      </c>
    </row>
    <row r="112" spans="2:12">
      <c r="B112" s="449"/>
      <c r="C112" s="449"/>
      <c r="D112" s="449"/>
      <c r="E112" s="449"/>
    </row>
  </sheetData>
  <sheetProtection formatCells="0" formatColumns="0" formatRows="0" selectLockedCells="1" sort="0" autoFilter="0" pivotTables="0"/>
  <autoFilter ref="B11:L11" xr:uid="{B3758204-E8E0-4898-A941-7F9AE44EB229}">
    <filterColumn colId="0" showButton="0"/>
    <filterColumn colId="2" showButton="0"/>
  </autoFilter>
  <mergeCells count="204">
    <mergeCell ref="B13:C13"/>
    <mergeCell ref="D13:E13"/>
    <mergeCell ref="B14:C14"/>
    <mergeCell ref="D14:E14"/>
    <mergeCell ref="B15:C15"/>
    <mergeCell ref="D15:E15"/>
    <mergeCell ref="B11:C11"/>
    <mergeCell ref="D11:E11"/>
    <mergeCell ref="B12:C12"/>
    <mergeCell ref="D12:E12"/>
    <mergeCell ref="B19:C19"/>
    <mergeCell ref="D19:E19"/>
    <mergeCell ref="B20:C20"/>
    <mergeCell ref="D20:E20"/>
    <mergeCell ref="B21:C21"/>
    <mergeCell ref="D21:E21"/>
    <mergeCell ref="B16:C16"/>
    <mergeCell ref="D16:E16"/>
    <mergeCell ref="B17:C17"/>
    <mergeCell ref="D17:E17"/>
    <mergeCell ref="B18:C18"/>
    <mergeCell ref="D18:E18"/>
    <mergeCell ref="B25:C25"/>
    <mergeCell ref="D25:E25"/>
    <mergeCell ref="B26:C26"/>
    <mergeCell ref="D26:E26"/>
    <mergeCell ref="B27:C27"/>
    <mergeCell ref="D27:E27"/>
    <mergeCell ref="B22:C22"/>
    <mergeCell ref="D22:E22"/>
    <mergeCell ref="B23:C23"/>
    <mergeCell ref="D23:E23"/>
    <mergeCell ref="B24:C24"/>
    <mergeCell ref="D24:E24"/>
    <mergeCell ref="B31:C31"/>
    <mergeCell ref="D31:E31"/>
    <mergeCell ref="B32:C32"/>
    <mergeCell ref="D32:E32"/>
    <mergeCell ref="B33:C33"/>
    <mergeCell ref="D33:E33"/>
    <mergeCell ref="B28:C28"/>
    <mergeCell ref="D28:E28"/>
    <mergeCell ref="B29:C29"/>
    <mergeCell ref="D29:E29"/>
    <mergeCell ref="B30:C30"/>
    <mergeCell ref="D30:E30"/>
    <mergeCell ref="B37:C37"/>
    <mergeCell ref="D37:E37"/>
    <mergeCell ref="B38:C38"/>
    <mergeCell ref="D38:E38"/>
    <mergeCell ref="B39:C39"/>
    <mergeCell ref="D39:E39"/>
    <mergeCell ref="B34:C34"/>
    <mergeCell ref="D34:E34"/>
    <mergeCell ref="B35:C35"/>
    <mergeCell ref="D35:E35"/>
    <mergeCell ref="B36:C36"/>
    <mergeCell ref="D36:E36"/>
    <mergeCell ref="B43:C43"/>
    <mergeCell ref="D43:E43"/>
    <mergeCell ref="B44:C44"/>
    <mergeCell ref="D44:E44"/>
    <mergeCell ref="B45:C45"/>
    <mergeCell ref="D45:E45"/>
    <mergeCell ref="B40:C40"/>
    <mergeCell ref="D40:E40"/>
    <mergeCell ref="B41:C41"/>
    <mergeCell ref="D41:E41"/>
    <mergeCell ref="B42:C42"/>
    <mergeCell ref="D42:E42"/>
    <mergeCell ref="B49:C49"/>
    <mergeCell ref="D49:E49"/>
    <mergeCell ref="B50:C50"/>
    <mergeCell ref="D50:E50"/>
    <mergeCell ref="B51:C51"/>
    <mergeCell ref="D51:E51"/>
    <mergeCell ref="B46:C46"/>
    <mergeCell ref="D46:E46"/>
    <mergeCell ref="B47:C47"/>
    <mergeCell ref="D47:E47"/>
    <mergeCell ref="B48:C48"/>
    <mergeCell ref="D48:E48"/>
    <mergeCell ref="B55:C55"/>
    <mergeCell ref="D55:E55"/>
    <mergeCell ref="B56:C56"/>
    <mergeCell ref="D56:E56"/>
    <mergeCell ref="B57:C57"/>
    <mergeCell ref="D57:E57"/>
    <mergeCell ref="B52:C52"/>
    <mergeCell ref="D52:E52"/>
    <mergeCell ref="B53:C53"/>
    <mergeCell ref="D53:E53"/>
    <mergeCell ref="B54:C54"/>
    <mergeCell ref="D54:E54"/>
    <mergeCell ref="B61:C61"/>
    <mergeCell ref="D61:E61"/>
    <mergeCell ref="B62:C62"/>
    <mergeCell ref="D62:E62"/>
    <mergeCell ref="B63:C63"/>
    <mergeCell ref="D63:E63"/>
    <mergeCell ref="B58:C58"/>
    <mergeCell ref="D58:E58"/>
    <mergeCell ref="B59:C59"/>
    <mergeCell ref="D59:E59"/>
    <mergeCell ref="B60:C60"/>
    <mergeCell ref="D60:E60"/>
    <mergeCell ref="B67:C67"/>
    <mergeCell ref="D67:E67"/>
    <mergeCell ref="B68:C68"/>
    <mergeCell ref="D68:E68"/>
    <mergeCell ref="B69:C69"/>
    <mergeCell ref="D69:E69"/>
    <mergeCell ref="B64:C64"/>
    <mergeCell ref="D64:E64"/>
    <mergeCell ref="B65:C65"/>
    <mergeCell ref="D65:E65"/>
    <mergeCell ref="B66:C66"/>
    <mergeCell ref="D66:E66"/>
    <mergeCell ref="B73:C73"/>
    <mergeCell ref="D73:E73"/>
    <mergeCell ref="B74:C74"/>
    <mergeCell ref="D74:E74"/>
    <mergeCell ref="B75:C75"/>
    <mergeCell ref="D75:E75"/>
    <mergeCell ref="B70:C70"/>
    <mergeCell ref="D70:E70"/>
    <mergeCell ref="B71:C71"/>
    <mergeCell ref="D71:E71"/>
    <mergeCell ref="B72:C72"/>
    <mergeCell ref="D72:E72"/>
    <mergeCell ref="B79:C79"/>
    <mergeCell ref="D79:E79"/>
    <mergeCell ref="B80:C80"/>
    <mergeCell ref="D80:E80"/>
    <mergeCell ref="B81:C81"/>
    <mergeCell ref="D81:E81"/>
    <mergeCell ref="B76:C76"/>
    <mergeCell ref="D76:E76"/>
    <mergeCell ref="B77:C77"/>
    <mergeCell ref="D77:E77"/>
    <mergeCell ref="B78:C78"/>
    <mergeCell ref="D78:E78"/>
    <mergeCell ref="B85:C85"/>
    <mergeCell ref="D85:E85"/>
    <mergeCell ref="B86:C86"/>
    <mergeCell ref="D86:E86"/>
    <mergeCell ref="B87:C87"/>
    <mergeCell ref="D87:E87"/>
    <mergeCell ref="B82:C82"/>
    <mergeCell ref="D82:E82"/>
    <mergeCell ref="B83:C83"/>
    <mergeCell ref="D83:E83"/>
    <mergeCell ref="B84:C84"/>
    <mergeCell ref="D84:E84"/>
    <mergeCell ref="B91:C91"/>
    <mergeCell ref="D91:E91"/>
    <mergeCell ref="B92:C92"/>
    <mergeCell ref="D92:E92"/>
    <mergeCell ref="B93:C93"/>
    <mergeCell ref="D93:E93"/>
    <mergeCell ref="B88:C88"/>
    <mergeCell ref="D88:E88"/>
    <mergeCell ref="B89:C89"/>
    <mergeCell ref="D89:E89"/>
    <mergeCell ref="B90:C90"/>
    <mergeCell ref="D90:E90"/>
    <mergeCell ref="B102:C102"/>
    <mergeCell ref="D102:E102"/>
    <mergeCell ref="B97:C97"/>
    <mergeCell ref="D97:E97"/>
    <mergeCell ref="B98:C98"/>
    <mergeCell ref="D98:E98"/>
    <mergeCell ref="B99:C99"/>
    <mergeCell ref="D99:E99"/>
    <mergeCell ref="B94:C94"/>
    <mergeCell ref="D94:E94"/>
    <mergeCell ref="B95:C95"/>
    <mergeCell ref="D95:E95"/>
    <mergeCell ref="B96:C96"/>
    <mergeCell ref="D96:E96"/>
    <mergeCell ref="K7:L7"/>
    <mergeCell ref="K8:L9"/>
    <mergeCell ref="B109:C109"/>
    <mergeCell ref="D109:E109"/>
    <mergeCell ref="B110:C110"/>
    <mergeCell ref="D110:E110"/>
    <mergeCell ref="B111:C111"/>
    <mergeCell ref="D111:E111"/>
    <mergeCell ref="B106:C106"/>
    <mergeCell ref="D106:E106"/>
    <mergeCell ref="B107:C107"/>
    <mergeCell ref="D107:E107"/>
    <mergeCell ref="B108:C108"/>
    <mergeCell ref="D108:E108"/>
    <mergeCell ref="B103:C103"/>
    <mergeCell ref="D103:E103"/>
    <mergeCell ref="B104:C104"/>
    <mergeCell ref="D104:E104"/>
    <mergeCell ref="B105:C105"/>
    <mergeCell ref="D105:E105"/>
    <mergeCell ref="B100:C100"/>
    <mergeCell ref="D100:E100"/>
    <mergeCell ref="B101:C101"/>
    <mergeCell ref="D101:E101"/>
  </mergeCells>
  <phoneticPr fontId="31" type="noConversion"/>
  <conditionalFormatting sqref="B10:G10">
    <cfRule type="expression" dxfId="202" priority="1">
      <formula>B$10=""</formula>
    </cfRule>
  </conditionalFormatting>
  <conditionalFormatting sqref="L12:L111">
    <cfRule type="expression" dxfId="198" priority="4">
      <formula>$L12="!"</formula>
    </cfRule>
  </conditionalFormatting>
  <dataValidations count="2">
    <dataValidation type="list" allowBlank="1" showInputMessage="1" showErrorMessage="1" sqref="F12:F111" xr:uid="{5DBD1683-54E6-4967-8487-8B464EF23BE3}">
      <formula1>DRangeEmployee</formula1>
    </dataValidation>
    <dataValidation type="list" allowBlank="1" showInputMessage="1" showErrorMessage="1" sqref="D12:E111" xr:uid="{4DFA3226-21A0-4354-AADB-929D7B597374}">
      <formula1>ActionPlan03</formula1>
    </dataValidation>
  </dataValidations>
  <hyperlinks>
    <hyperlink ref="B10" location="'AP1'!A1" display="'AP1'!A1" xr:uid="{9F1D83E6-60FC-40C4-B8B7-A0B26FB4C467}"/>
    <hyperlink ref="C10" location="'AP2'!A1" display="'AP2'!A1" xr:uid="{2DA4DFA1-F45F-4319-8C47-7BBE57D5F497}"/>
    <hyperlink ref="D10" location="'AP3'!A1" display="'AP3'!A1" xr:uid="{C4A4124E-2047-4BB5-A7E5-91EAC57B051C}"/>
    <hyperlink ref="E10" location="'AP4'!A1" display="'AP4'!A1" xr:uid="{AE9B6A29-CDA3-43AE-A41B-25BA08F4AF2A}"/>
    <hyperlink ref="F10" location="'AP5'!A1" display="'AP5'!A1" xr:uid="{79631521-C534-48A2-9A10-54EFCEB27977}"/>
    <hyperlink ref="G10" location="'AP6'!A1" display="'AP6'!A1" xr:uid="{37EEC2C2-3104-46D8-9012-F8CDF0EDBDC6}"/>
  </hyperlinks>
  <pageMargins left="0.25" right="0.25" top="0.75" bottom="0.75" header="0.3" footer="0.3"/>
  <pageSetup scale="77"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id="{4833F6A4-3F21-4687-83B6-788738A35B2C}">
            <xm:f>$K12=Data!$K$5</xm:f>
            <x14:dxf>
              <font>
                <color theme="1" tint="0.24994659260841701"/>
              </font>
              <fill>
                <patternFill>
                  <bgColor theme="0" tint="-4.9989318521683403E-2"/>
                </patternFill>
              </fill>
            </x14:dxf>
          </x14:cfRule>
          <x14:cfRule type="expression" priority="7" id="{1AC0C804-32A1-4D0E-B660-C955330FFFF7}">
            <xm:f>$K12=Data!$K$3</xm:f>
            <x14:dxf>
              <font>
                <color theme="0"/>
              </font>
              <fill>
                <patternFill>
                  <bgColor rgb="FFF2C80F"/>
                </patternFill>
              </fill>
            </x14:dxf>
          </x14:cfRule>
          <x14:cfRule type="expression" priority="8" id="{E80C4710-7A90-41AD-9B40-ACB08ED9C2E2}">
            <xm:f>$K12=Data!$K$2</xm:f>
            <x14:dxf>
              <font>
                <color theme="0"/>
              </font>
              <fill>
                <patternFill>
                  <bgColor rgb="FF55B03E"/>
                </patternFill>
              </fill>
            </x14:dxf>
          </x14:cfRule>
          <xm:sqref>K12:K111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471F3-E190-4698-A70A-7E7CA294D8D6}">
  <dimension ref="A1:S111"/>
  <sheetViews>
    <sheetView showGridLines="0" showRowColHeaders="0" zoomScaleNormal="100" workbookViewId="0"/>
  </sheetViews>
  <sheetFormatPr baseColWidth="10" defaultColWidth="8.83203125" defaultRowHeight="15"/>
  <cols>
    <col min="1" max="1" width="2.6640625" style="290" customWidth="1"/>
    <col min="2" max="5" width="25.6640625" style="273" customWidth="1"/>
    <col min="6" max="6" width="30.6640625" style="273" customWidth="1"/>
    <col min="7" max="8" width="20.6640625" style="369" customWidth="1"/>
    <col min="9" max="9" width="16.6640625" style="369" hidden="1" customWidth="1"/>
    <col min="10" max="10" width="16.6640625" style="369" customWidth="1"/>
    <col min="11" max="11" width="14.6640625" style="369" customWidth="1"/>
    <col min="12" max="12" width="12.6640625" style="273" customWidth="1"/>
    <col min="13" max="16384" width="8.83203125" style="273"/>
  </cols>
  <sheetData>
    <row r="1" spans="1:19" s="249" customFormat="1" ht="39" customHeight="1">
      <c r="A1" s="248"/>
      <c r="B1" s="248"/>
      <c r="C1" s="248"/>
      <c r="D1" s="248"/>
      <c r="E1" s="248"/>
      <c r="F1" s="248"/>
      <c r="G1" s="248"/>
      <c r="H1" s="248"/>
      <c r="I1" s="248"/>
      <c r="J1" s="248"/>
      <c r="K1" s="248"/>
      <c r="L1" s="248"/>
      <c r="M1" s="248"/>
      <c r="N1" s="248"/>
      <c r="O1" s="248"/>
      <c r="P1" s="248"/>
      <c r="Q1" s="248"/>
      <c r="R1" s="248"/>
      <c r="S1" s="248"/>
    </row>
    <row r="2" spans="1:19" s="308" customFormat="1" ht="25" customHeight="1"/>
    <row r="3" spans="1:19" s="287" customFormat="1" ht="18" customHeight="1"/>
    <row r="4" spans="1:19" s="287" customFormat="1" ht="18" customHeight="1"/>
    <row r="5" spans="1:19" s="287" customFormat="1" ht="20" customHeight="1"/>
    <row r="6" spans="1:19" s="281" customFormat="1" ht="20" customHeight="1">
      <c r="A6" s="355"/>
      <c r="G6" s="278"/>
      <c r="H6" s="278"/>
      <c r="I6" s="278"/>
      <c r="J6" s="278"/>
      <c r="K6" s="278"/>
    </row>
    <row r="7" spans="1:19" s="281" customFormat="1" ht="20" customHeight="1">
      <c r="A7" s="355"/>
      <c r="B7" s="303" t="str">
        <f>Lan!F62&amp;" - "&amp;Goals!C15</f>
        <v>2.5. Plan de acción - Asegurar la calidad e inocuidad de los productos en todos los procesos de la planta.</v>
      </c>
      <c r="C7" s="359"/>
      <c r="D7" s="359"/>
      <c r="E7" s="359"/>
      <c r="F7" s="359"/>
      <c r="G7" s="359"/>
      <c r="H7" s="370"/>
      <c r="I7" s="370"/>
      <c r="J7" s="370"/>
      <c r="K7" s="509" t="str">
        <f>Lan!F69</f>
        <v>% Progreso</v>
      </c>
      <c r="L7" s="509"/>
    </row>
    <row r="8" spans="1:19" s="281" customFormat="1" ht="20" customHeight="1">
      <c r="A8" s="355"/>
      <c r="B8" s="320" t="str">
        <f>Lan!F44</f>
        <v>Los objetivos proporcionan hitos específicos con un cronograma específico para lograr una meta.</v>
      </c>
      <c r="C8" s="362"/>
      <c r="D8" s="362"/>
      <c r="E8" s="362"/>
      <c r="F8" s="371"/>
      <c r="G8" s="370"/>
      <c r="H8" s="370"/>
      <c r="I8" s="372"/>
      <c r="J8" s="370"/>
      <c r="K8" s="507">
        <f>IFERROR(AVERAGE(J12:J111),0)</f>
        <v>0.375</v>
      </c>
      <c r="L8" s="508"/>
    </row>
    <row r="9" spans="1:19" s="281" customFormat="1" ht="20" customHeight="1" thickBot="1">
      <c r="A9" s="355"/>
      <c r="B9" s="371"/>
      <c r="C9" s="371"/>
      <c r="D9" s="371"/>
      <c r="E9" s="371"/>
      <c r="F9" s="371"/>
      <c r="G9" s="370"/>
      <c r="H9" s="370"/>
      <c r="I9" s="370"/>
      <c r="J9" s="370"/>
      <c r="K9" s="508"/>
      <c r="L9" s="508"/>
    </row>
    <row r="10" spans="1:19" s="281" customFormat="1" ht="20" customHeight="1" thickTop="1" thickBot="1">
      <c r="A10" s="355"/>
      <c r="B10" s="419" t="str">
        <f>IF(Goals!C12="","",Goals!B12)</f>
        <v>Meta 1</v>
      </c>
      <c r="C10" s="419" t="str">
        <f>IF(Goals!C13="","",Goals!B13)</f>
        <v>Meta 2</v>
      </c>
      <c r="D10" s="419" t="str">
        <f>IF(Goals!C14="","",Goals!B14)</f>
        <v>Meta 3</v>
      </c>
      <c r="E10" s="420" t="str">
        <f>IF(Goals!C15="","",Goals!B15)</f>
        <v>Meta 4</v>
      </c>
      <c r="F10" s="419" t="str">
        <f>IF(Goals!C16="","",Goals!B16)</f>
        <v>Meta 5</v>
      </c>
      <c r="G10" s="419" t="str">
        <f>IF(Goals!C17="","",Goals!B17)</f>
        <v>Meta 6</v>
      </c>
      <c r="H10" s="53"/>
      <c r="I10" s="53"/>
      <c r="J10" s="370"/>
      <c r="K10" s="370"/>
      <c r="L10" s="371"/>
    </row>
    <row r="11" spans="1:19" s="281" customFormat="1" ht="30" customHeight="1" thickTop="1" thickBot="1">
      <c r="A11" s="355"/>
      <c r="B11" s="513" t="str">
        <f>Lan!$F$63</f>
        <v>Paso de acción</v>
      </c>
      <c r="C11" s="513"/>
      <c r="D11" s="513" t="str">
        <f>Lan!$F$64</f>
        <v>Objetivo asociado</v>
      </c>
      <c r="E11" s="513"/>
      <c r="F11" s="283" t="str">
        <f>Lan!$F$65</f>
        <v>Gerentes</v>
      </c>
      <c r="G11" s="283" t="str">
        <f>Lan!$F$67</f>
        <v>Fecha de inicio</v>
      </c>
      <c r="H11" s="376" t="str">
        <f>Lan!$F$68</f>
        <v>Fecha de vencimiento</v>
      </c>
      <c r="I11" s="376" t="str">
        <f>Lan!F75</f>
        <v>Hora de completar una tarea</v>
      </c>
      <c r="J11" s="376" t="str">
        <f>Lan!$F$69</f>
        <v>% Progreso</v>
      </c>
      <c r="K11" s="376" t="str">
        <f>Lan!$F$70</f>
        <v>Status</v>
      </c>
      <c r="L11" s="376" t="str">
        <f>Data!K4</f>
        <v>Atrasado</v>
      </c>
    </row>
    <row r="12" spans="1:19" s="281" customFormat="1" ht="27" customHeight="1">
      <c r="A12" s="355"/>
      <c r="B12" s="510" t="s">
        <v>308</v>
      </c>
      <c r="C12" s="510"/>
      <c r="D12" s="510" t="s">
        <v>319</v>
      </c>
      <c r="E12" s="510"/>
      <c r="F12" s="218" t="s">
        <v>306</v>
      </c>
      <c r="G12" s="426">
        <v>44234</v>
      </c>
      <c r="H12" s="426">
        <v>44237</v>
      </c>
      <c r="I12" s="443">
        <f>IFERROR(H12-G12,0)</f>
        <v>3</v>
      </c>
      <c r="J12" s="428">
        <v>0.25</v>
      </c>
      <c r="K12" s="446" t="str">
        <f>IF(B12="","",IF(J12=1,Data!$K$2,IF(J12=0,Data!$K$5,Data!$K$3)))</f>
        <v>En progreso</v>
      </c>
      <c r="L12" s="447" t="str">
        <f ca="1">IF(H12="","",IF(B12="","",IF(K12=Data!$K$2,"",IF(H12&lt;TODAY(),"!",""))))</f>
        <v>!</v>
      </c>
    </row>
    <row r="13" spans="1:19" s="281" customFormat="1" ht="27" customHeight="1">
      <c r="A13" s="355"/>
      <c r="B13" s="510" t="s">
        <v>309</v>
      </c>
      <c r="C13" s="510"/>
      <c r="D13" s="510" t="s">
        <v>316</v>
      </c>
      <c r="E13" s="510"/>
      <c r="F13" s="218" t="s">
        <v>307</v>
      </c>
      <c r="G13" s="426">
        <v>44235</v>
      </c>
      <c r="H13" s="426">
        <v>44238</v>
      </c>
      <c r="I13" s="443">
        <f t="shared" ref="I13:I18" si="0">IFERROR(H13-G13,0)</f>
        <v>3</v>
      </c>
      <c r="J13" s="429">
        <v>0.5</v>
      </c>
      <c r="K13" s="446" t="str">
        <f>IF(B13="","",IF(J13=1,Data!$K$2,IF(J13=0,Data!$K$5,Data!$K$3)))</f>
        <v>En progreso</v>
      </c>
      <c r="L13" s="448" t="str">
        <f ca="1">IF(H13="","",IF(B13="","",IF(K13=Data!$K$2,"",IF(H13&lt;TODAY(),"!",""))))</f>
        <v>!</v>
      </c>
    </row>
    <row r="14" spans="1:19" s="281" customFormat="1" ht="27" customHeight="1">
      <c r="A14" s="355"/>
      <c r="B14" s="510"/>
      <c r="C14" s="510"/>
      <c r="D14" s="510"/>
      <c r="E14" s="510"/>
      <c r="F14" s="218"/>
      <c r="G14" s="426"/>
      <c r="H14" s="426"/>
      <c r="I14" s="443">
        <f t="shared" si="0"/>
        <v>0</v>
      </c>
      <c r="J14" s="429"/>
      <c r="K14" s="446" t="str">
        <f>IF(B14="","",IF(J14=1,Data!$K$2,IF(J14=0,Data!$K$5,Data!$K$3)))</f>
        <v/>
      </c>
      <c r="L14" s="448" t="str">
        <f ca="1">IF(H14="","",IF(B14="","",IF(K14=Data!$K$2,"",IF(H14&lt;TODAY(),"!",""))))</f>
        <v/>
      </c>
    </row>
    <row r="15" spans="1:19" s="281" customFormat="1" ht="27" customHeight="1">
      <c r="A15" s="355"/>
      <c r="B15" s="510"/>
      <c r="C15" s="510"/>
      <c r="D15" s="510"/>
      <c r="E15" s="510"/>
      <c r="F15" s="218"/>
      <c r="G15" s="426"/>
      <c r="H15" s="426"/>
      <c r="I15" s="443">
        <f>IFERROR(H15-G15,0)</f>
        <v>0</v>
      </c>
      <c r="J15" s="429"/>
      <c r="K15" s="446" t="str">
        <f>IF(B15="","",IF(J15=1,Data!$K$2,IF(J15=0,Data!$K$5,Data!$K$3)))</f>
        <v/>
      </c>
      <c r="L15" s="448" t="str">
        <f ca="1">IF(H15="","",IF(B15="","",IF(K15=Data!$K$2,"",IF(H15&lt;TODAY(),"!",""))))</f>
        <v/>
      </c>
    </row>
    <row r="16" spans="1:19" s="281" customFormat="1" ht="27" customHeight="1">
      <c r="A16" s="355"/>
      <c r="B16" s="510"/>
      <c r="C16" s="510"/>
      <c r="D16" s="510"/>
      <c r="E16" s="510"/>
      <c r="F16" s="218"/>
      <c r="G16" s="426"/>
      <c r="H16" s="426"/>
      <c r="I16" s="443">
        <f t="shared" si="0"/>
        <v>0</v>
      </c>
      <c r="J16" s="429"/>
      <c r="K16" s="446" t="str">
        <f>IF(B16="","",IF(J16=1,Data!$K$2,IF(J16=0,Data!$K$5,Data!$K$3)))</f>
        <v/>
      </c>
      <c r="L16" s="448" t="str">
        <f ca="1">IF(H16="","",IF(B16="","",IF(K16=Data!$K$2,"",IF(H16&lt;TODAY(),"!",""))))</f>
        <v/>
      </c>
    </row>
    <row r="17" spans="1:12" s="281" customFormat="1" ht="27" customHeight="1">
      <c r="A17" s="355"/>
      <c r="B17" s="510"/>
      <c r="C17" s="510"/>
      <c r="D17" s="510"/>
      <c r="E17" s="510"/>
      <c r="F17" s="218"/>
      <c r="G17" s="426"/>
      <c r="H17" s="426"/>
      <c r="I17" s="443">
        <f t="shared" si="0"/>
        <v>0</v>
      </c>
      <c r="J17" s="429"/>
      <c r="K17" s="446" t="str">
        <f>IF(B17="","",IF(J17=1,Data!$K$2,IF(J17=0,Data!$K$5,Data!$K$3)))</f>
        <v/>
      </c>
      <c r="L17" s="448" t="str">
        <f ca="1">IF(H17="","",IF(B17="","",IF(K17=Data!$K$2,"",IF(H17&lt;TODAY(),"!",""))))</f>
        <v/>
      </c>
    </row>
    <row r="18" spans="1:12" s="281" customFormat="1" ht="27" customHeight="1">
      <c r="A18" s="355"/>
      <c r="B18" s="510"/>
      <c r="C18" s="510"/>
      <c r="D18" s="510"/>
      <c r="E18" s="510"/>
      <c r="F18" s="218"/>
      <c r="G18" s="426"/>
      <c r="H18" s="426"/>
      <c r="I18" s="443">
        <f t="shared" si="0"/>
        <v>0</v>
      </c>
      <c r="J18" s="429"/>
      <c r="K18" s="446" t="str">
        <f>IF(B18="","",IF(J18=1,Data!$K$2,IF(J18=0,Data!$K$5,Data!$K$3)))</f>
        <v/>
      </c>
      <c r="L18" s="448" t="str">
        <f ca="1">IF(H18="","",IF(B18="","",IF(K18=Data!$K$2,"",IF(H18&lt;TODAY(),"!",""))))</f>
        <v/>
      </c>
    </row>
    <row r="19" spans="1:12" s="281" customFormat="1" ht="27" customHeight="1">
      <c r="A19" s="355"/>
      <c r="B19" s="510"/>
      <c r="C19" s="510"/>
      <c r="D19" s="510"/>
      <c r="E19" s="510"/>
      <c r="F19" s="219"/>
      <c r="G19" s="426"/>
      <c r="H19" s="426"/>
      <c r="I19" s="443">
        <f>IFERROR(H19-G19,0)</f>
        <v>0</v>
      </c>
      <c r="J19" s="429"/>
      <c r="K19" s="446" t="str">
        <f>IF(B19="","",IF(J19=1,Data!$K$2,IF(J19=0,Data!$K$5,Data!$K$3)))</f>
        <v/>
      </c>
      <c r="L19" s="448" t="str">
        <f ca="1">IF(H19="","",IF(B19="","",IF(K19=Data!$K$2,"",IF(H19&lt;TODAY(),"!",""))))</f>
        <v/>
      </c>
    </row>
    <row r="20" spans="1:12" s="281" customFormat="1" ht="27" customHeight="1">
      <c r="A20" s="355"/>
      <c r="B20" s="515"/>
      <c r="C20" s="515"/>
      <c r="D20" s="510"/>
      <c r="E20" s="510"/>
      <c r="F20" s="430"/>
      <c r="G20" s="427"/>
      <c r="H20" s="427"/>
      <c r="I20" s="443">
        <f t="shared" ref="I20:I76" si="1">IFERROR(H20-G20,0)</f>
        <v>0</v>
      </c>
      <c r="J20" s="429"/>
      <c r="K20" s="446" t="str">
        <f>IF(B20="","",IF(J20=1,Data!$K$2,IF(J20=0,Data!$K$5,Data!$K$3)))</f>
        <v/>
      </c>
      <c r="L20" s="448" t="str">
        <f ca="1">IF(H20="","",IF(B20="","",IF(K20=Data!$K$2,"",IF(H20&lt;TODAY(),"!",""))))</f>
        <v/>
      </c>
    </row>
    <row r="21" spans="1:12" s="281" customFormat="1" ht="27" customHeight="1">
      <c r="A21" s="355"/>
      <c r="B21" s="515"/>
      <c r="C21" s="515"/>
      <c r="D21" s="510"/>
      <c r="E21" s="510"/>
      <c r="F21" s="430"/>
      <c r="G21" s="427"/>
      <c r="H21" s="427"/>
      <c r="I21" s="443">
        <f t="shared" si="1"/>
        <v>0</v>
      </c>
      <c r="J21" s="429"/>
      <c r="K21" s="446" t="str">
        <f>IF(B21="","",IF(J21=1,Data!$K$2,IF(J21=0,Data!$K$5,Data!$K$3)))</f>
        <v/>
      </c>
      <c r="L21" s="448" t="str">
        <f ca="1">IF(H21="","",IF(B21="","",IF(K21=Data!$K$2,"",IF(H21&lt;TODAY(),"!",""))))</f>
        <v/>
      </c>
    </row>
    <row r="22" spans="1:12" s="281" customFormat="1" ht="27" customHeight="1">
      <c r="A22" s="355"/>
      <c r="B22" s="515"/>
      <c r="C22" s="515"/>
      <c r="D22" s="510"/>
      <c r="E22" s="510"/>
      <c r="F22" s="430"/>
      <c r="G22" s="427"/>
      <c r="H22" s="427"/>
      <c r="I22" s="443">
        <f t="shared" si="1"/>
        <v>0</v>
      </c>
      <c r="J22" s="429"/>
      <c r="K22" s="446" t="str">
        <f>IF(B22="","",IF(J22=1,Data!$K$2,IF(J22=0,Data!$K$5,Data!$K$3)))</f>
        <v/>
      </c>
      <c r="L22" s="448" t="str">
        <f ca="1">IF(H22="","",IF(B22="","",IF(K22=Data!$K$2,"",IF(H22&lt;TODAY(),"!",""))))</f>
        <v/>
      </c>
    </row>
    <row r="23" spans="1:12" s="281" customFormat="1" ht="27" customHeight="1">
      <c r="A23" s="355"/>
      <c r="B23" s="515"/>
      <c r="C23" s="515"/>
      <c r="D23" s="510"/>
      <c r="E23" s="510"/>
      <c r="F23" s="430"/>
      <c r="G23" s="427"/>
      <c r="H23" s="427"/>
      <c r="I23" s="443">
        <f t="shared" si="1"/>
        <v>0</v>
      </c>
      <c r="J23" s="429"/>
      <c r="K23" s="446" t="str">
        <f>IF(B23="","",IF(J23=1,Data!$K$2,IF(J23=0,Data!$K$5,Data!$K$3)))</f>
        <v/>
      </c>
      <c r="L23" s="448" t="str">
        <f ca="1">IF(H23="","",IF(B23="","",IF(K23=Data!$K$2,"",IF(H23&lt;TODAY(),"!",""))))</f>
        <v/>
      </c>
    </row>
    <row r="24" spans="1:12" s="281" customFormat="1" ht="27" customHeight="1">
      <c r="A24" s="355"/>
      <c r="B24" s="515"/>
      <c r="C24" s="515"/>
      <c r="D24" s="510"/>
      <c r="E24" s="510"/>
      <c r="F24" s="430"/>
      <c r="G24" s="427"/>
      <c r="H24" s="427"/>
      <c r="I24" s="443">
        <f t="shared" si="1"/>
        <v>0</v>
      </c>
      <c r="J24" s="429"/>
      <c r="K24" s="446" t="str">
        <f>IF(B24="","",IF(J24=1,Data!$K$2,IF(J24=0,Data!$K$5,Data!$K$3)))</f>
        <v/>
      </c>
      <c r="L24" s="448" t="str">
        <f ca="1">IF(H24="","",IF(B24="","",IF(K24=Data!$K$2,"",IF(H24&lt;TODAY(),"!",""))))</f>
        <v/>
      </c>
    </row>
    <row r="25" spans="1:12" s="281" customFormat="1" ht="27" customHeight="1">
      <c r="A25" s="355"/>
      <c r="B25" s="515"/>
      <c r="C25" s="515"/>
      <c r="D25" s="510"/>
      <c r="E25" s="510"/>
      <c r="F25" s="430"/>
      <c r="G25" s="427"/>
      <c r="H25" s="427"/>
      <c r="I25" s="443">
        <f t="shared" si="1"/>
        <v>0</v>
      </c>
      <c r="J25" s="429"/>
      <c r="K25" s="446" t="str">
        <f>IF(B25="","",IF(J25=1,Data!$K$2,IF(J25=0,Data!$K$5,Data!$K$3)))</f>
        <v/>
      </c>
      <c r="L25" s="448" t="str">
        <f ca="1">IF(H25="","",IF(B25="","",IF(K25=Data!$K$2,"",IF(H25&lt;TODAY(),"!",""))))</f>
        <v/>
      </c>
    </row>
    <row r="26" spans="1:12" s="281" customFormat="1" ht="27" customHeight="1">
      <c r="A26" s="355"/>
      <c r="B26" s="515"/>
      <c r="C26" s="515"/>
      <c r="D26" s="510"/>
      <c r="E26" s="510"/>
      <c r="F26" s="430"/>
      <c r="G26" s="427"/>
      <c r="H26" s="427"/>
      <c r="I26" s="443">
        <f t="shared" si="1"/>
        <v>0</v>
      </c>
      <c r="J26" s="429"/>
      <c r="K26" s="446" t="str">
        <f>IF(B26="","",IF(J26=1,Data!$K$2,IF(J26=0,Data!$K$5,Data!$K$3)))</f>
        <v/>
      </c>
      <c r="L26" s="448" t="str">
        <f ca="1">IF(H26="","",IF(B26="","",IF(K26=Data!$K$2,"",IF(H26&lt;TODAY(),"!",""))))</f>
        <v/>
      </c>
    </row>
    <row r="27" spans="1:12" s="281" customFormat="1" ht="27" customHeight="1">
      <c r="A27" s="355"/>
      <c r="B27" s="515"/>
      <c r="C27" s="515"/>
      <c r="D27" s="510"/>
      <c r="E27" s="510"/>
      <c r="F27" s="430"/>
      <c r="G27" s="427"/>
      <c r="H27" s="427"/>
      <c r="I27" s="443">
        <f t="shared" si="1"/>
        <v>0</v>
      </c>
      <c r="J27" s="429"/>
      <c r="K27" s="446" t="str">
        <f>IF(B27="","",IF(J27=1,Data!$K$2,IF(J27=0,Data!$K$5,Data!$K$3)))</f>
        <v/>
      </c>
      <c r="L27" s="448" t="str">
        <f ca="1">IF(H27="","",IF(B27="","",IF(K27=Data!$K$2,"",IF(H27&lt;TODAY(),"!",""))))</f>
        <v/>
      </c>
    </row>
    <row r="28" spans="1:12" s="281" customFormat="1" ht="27" customHeight="1">
      <c r="A28" s="355"/>
      <c r="B28" s="515"/>
      <c r="C28" s="515"/>
      <c r="D28" s="510"/>
      <c r="E28" s="510"/>
      <c r="F28" s="430"/>
      <c r="G28" s="427"/>
      <c r="H28" s="427"/>
      <c r="I28" s="443">
        <f t="shared" si="1"/>
        <v>0</v>
      </c>
      <c r="J28" s="429"/>
      <c r="K28" s="446" t="str">
        <f>IF(B28="","",IF(J28=1,Data!$K$2,IF(J28=0,Data!$K$5,Data!$K$3)))</f>
        <v/>
      </c>
      <c r="L28" s="448" t="str">
        <f ca="1">IF(H28="","",IF(B28="","",IF(K28=Data!$K$2,"",IF(H28&lt;TODAY(),"!",""))))</f>
        <v/>
      </c>
    </row>
    <row r="29" spans="1:12" s="281" customFormat="1" ht="27" customHeight="1">
      <c r="A29" s="355"/>
      <c r="B29" s="515"/>
      <c r="C29" s="515"/>
      <c r="D29" s="510"/>
      <c r="E29" s="510"/>
      <c r="F29" s="430"/>
      <c r="G29" s="427"/>
      <c r="H29" s="427"/>
      <c r="I29" s="443">
        <f t="shared" si="1"/>
        <v>0</v>
      </c>
      <c r="J29" s="429"/>
      <c r="K29" s="446" t="str">
        <f>IF(B29="","",IF(J29=1,Data!$K$2,IF(J29=0,Data!$K$5,Data!$K$3)))</f>
        <v/>
      </c>
      <c r="L29" s="448" t="str">
        <f ca="1">IF(H29="","",IF(B29="","",IF(K29=Data!$K$2,"",IF(H29&lt;TODAY(),"!",""))))</f>
        <v/>
      </c>
    </row>
    <row r="30" spans="1:12" s="281" customFormat="1" ht="27" customHeight="1">
      <c r="A30" s="355"/>
      <c r="B30" s="515"/>
      <c r="C30" s="515"/>
      <c r="D30" s="510"/>
      <c r="E30" s="510"/>
      <c r="F30" s="430"/>
      <c r="G30" s="427"/>
      <c r="H30" s="427"/>
      <c r="I30" s="443">
        <f t="shared" si="1"/>
        <v>0</v>
      </c>
      <c r="J30" s="429"/>
      <c r="K30" s="446" t="str">
        <f>IF(B30="","",IF(J30=1,Data!$K$2,IF(J30=0,Data!$K$5,Data!$K$3)))</f>
        <v/>
      </c>
      <c r="L30" s="448" t="str">
        <f ca="1">IF(H30="","",IF(B30="","",IF(K30=Data!$K$2,"",IF(H30&lt;TODAY(),"!",""))))</f>
        <v/>
      </c>
    </row>
    <row r="31" spans="1:12" s="281" customFormat="1" ht="27" customHeight="1">
      <c r="A31" s="355"/>
      <c r="B31" s="515"/>
      <c r="C31" s="515"/>
      <c r="D31" s="510"/>
      <c r="E31" s="510"/>
      <c r="F31" s="430"/>
      <c r="G31" s="427"/>
      <c r="H31" s="427"/>
      <c r="I31" s="443">
        <f t="shared" si="1"/>
        <v>0</v>
      </c>
      <c r="J31" s="429"/>
      <c r="K31" s="446" t="str">
        <f>IF(B31="","",IF(J31=1,Data!$K$2,IF(J31=0,Data!$K$5,Data!$K$3)))</f>
        <v/>
      </c>
      <c r="L31" s="448" t="str">
        <f ca="1">IF(H31="","",IF(B31="","",IF(K31=Data!$K$2,"",IF(H31&lt;TODAY(),"!",""))))</f>
        <v/>
      </c>
    </row>
    <row r="32" spans="1:12" s="281" customFormat="1" ht="27" customHeight="1">
      <c r="A32" s="355"/>
      <c r="B32" s="515"/>
      <c r="C32" s="515"/>
      <c r="D32" s="510"/>
      <c r="E32" s="510"/>
      <c r="F32" s="430"/>
      <c r="G32" s="427"/>
      <c r="H32" s="427"/>
      <c r="I32" s="443">
        <f t="shared" si="1"/>
        <v>0</v>
      </c>
      <c r="J32" s="429"/>
      <c r="K32" s="446" t="str">
        <f>IF(B32="","",IF(J32=1,Data!$K$2,IF(J32=0,Data!$K$5,Data!$K$3)))</f>
        <v/>
      </c>
      <c r="L32" s="448" t="str">
        <f ca="1">IF(H32="","",IF(B32="","",IF(K32=Data!$K$2,"",IF(H32&lt;TODAY(),"!",""))))</f>
        <v/>
      </c>
    </row>
    <row r="33" spans="1:12" s="281" customFormat="1" ht="27" customHeight="1">
      <c r="A33" s="355"/>
      <c r="B33" s="515"/>
      <c r="C33" s="515"/>
      <c r="D33" s="510"/>
      <c r="E33" s="510"/>
      <c r="F33" s="430"/>
      <c r="G33" s="427"/>
      <c r="H33" s="427"/>
      <c r="I33" s="443">
        <f t="shared" si="1"/>
        <v>0</v>
      </c>
      <c r="J33" s="429"/>
      <c r="K33" s="446" t="str">
        <f>IF(B33="","",IF(J33=1,Data!$K$2,IF(J33=0,Data!$K$5,Data!$K$3)))</f>
        <v/>
      </c>
      <c r="L33" s="448" t="str">
        <f ca="1">IF(H33="","",IF(B33="","",IF(K33=Data!$K$2,"",IF(H33&lt;TODAY(),"!",""))))</f>
        <v/>
      </c>
    </row>
    <row r="34" spans="1:12" s="281" customFormat="1" ht="27" customHeight="1">
      <c r="A34" s="355"/>
      <c r="B34" s="515"/>
      <c r="C34" s="515"/>
      <c r="D34" s="510"/>
      <c r="E34" s="510"/>
      <c r="F34" s="430"/>
      <c r="G34" s="427"/>
      <c r="H34" s="427"/>
      <c r="I34" s="443">
        <f t="shared" si="1"/>
        <v>0</v>
      </c>
      <c r="J34" s="429"/>
      <c r="K34" s="446" t="str">
        <f>IF(B34="","",IF(J34=1,Data!$K$2,IF(J34=0,Data!$K$5,Data!$K$3)))</f>
        <v/>
      </c>
      <c r="L34" s="448" t="str">
        <f ca="1">IF(H34="","",IF(B34="","",IF(K34=Data!$K$2,"",IF(H34&lt;TODAY(),"!",""))))</f>
        <v/>
      </c>
    </row>
    <row r="35" spans="1:12" s="281" customFormat="1" ht="27" customHeight="1">
      <c r="A35" s="355"/>
      <c r="B35" s="515"/>
      <c r="C35" s="515"/>
      <c r="D35" s="510"/>
      <c r="E35" s="510"/>
      <c r="F35" s="430"/>
      <c r="G35" s="427"/>
      <c r="H35" s="427"/>
      <c r="I35" s="443">
        <f t="shared" si="1"/>
        <v>0</v>
      </c>
      <c r="J35" s="429"/>
      <c r="K35" s="446" t="str">
        <f>IF(B35="","",IF(J35=1,Data!$K$2,IF(J35=0,Data!$K$5,Data!$K$3)))</f>
        <v/>
      </c>
      <c r="L35" s="448" t="str">
        <f ca="1">IF(H35="","",IF(B35="","",IF(K35=Data!$K$2,"",IF(H35&lt;TODAY(),"!",""))))</f>
        <v/>
      </c>
    </row>
    <row r="36" spans="1:12" s="281" customFormat="1" ht="27" customHeight="1">
      <c r="A36" s="355"/>
      <c r="B36" s="515"/>
      <c r="C36" s="515"/>
      <c r="D36" s="510"/>
      <c r="E36" s="510"/>
      <c r="F36" s="430"/>
      <c r="G36" s="427"/>
      <c r="H36" s="427"/>
      <c r="I36" s="443">
        <f t="shared" si="1"/>
        <v>0</v>
      </c>
      <c r="J36" s="429"/>
      <c r="K36" s="446" t="str">
        <f>IF(B36="","",IF(J36=1,Data!$K$2,IF(J36=0,Data!$K$5,Data!$K$3)))</f>
        <v/>
      </c>
      <c r="L36" s="448" t="str">
        <f ca="1">IF(H36="","",IF(B36="","",IF(K36=Data!$K$2,"",IF(H36&lt;TODAY(),"!",""))))</f>
        <v/>
      </c>
    </row>
    <row r="37" spans="1:12" s="281" customFormat="1" ht="27" customHeight="1">
      <c r="A37" s="355"/>
      <c r="B37" s="515"/>
      <c r="C37" s="515"/>
      <c r="D37" s="510"/>
      <c r="E37" s="510"/>
      <c r="F37" s="430"/>
      <c r="G37" s="427"/>
      <c r="H37" s="427"/>
      <c r="I37" s="443">
        <f t="shared" si="1"/>
        <v>0</v>
      </c>
      <c r="J37" s="429"/>
      <c r="K37" s="446" t="str">
        <f>IF(B37="","",IF(J37=1,Data!$K$2,IF(J37=0,Data!$K$5,Data!$K$3)))</f>
        <v/>
      </c>
      <c r="L37" s="448" t="str">
        <f ca="1">IF(H37="","",IF(B37="","",IF(K37=Data!$K$2,"",IF(H37&lt;TODAY(),"!",""))))</f>
        <v/>
      </c>
    </row>
    <row r="38" spans="1:12" s="281" customFormat="1" ht="27" customHeight="1">
      <c r="A38" s="355"/>
      <c r="B38" s="515"/>
      <c r="C38" s="515"/>
      <c r="D38" s="510"/>
      <c r="E38" s="510"/>
      <c r="F38" s="430"/>
      <c r="G38" s="427"/>
      <c r="H38" s="427"/>
      <c r="I38" s="443">
        <f t="shared" si="1"/>
        <v>0</v>
      </c>
      <c r="J38" s="429"/>
      <c r="K38" s="446" t="str">
        <f>IF(B38="","",IF(J38=1,Data!$K$2,IF(J38=0,Data!$K$5,Data!$K$3)))</f>
        <v/>
      </c>
      <c r="L38" s="448" t="str">
        <f ca="1">IF(H38="","",IF(B38="","",IF(K38=Data!$K$2,"",IF(H38&lt;TODAY(),"!",""))))</f>
        <v/>
      </c>
    </row>
    <row r="39" spans="1:12" s="281" customFormat="1" ht="27" customHeight="1">
      <c r="A39" s="355"/>
      <c r="B39" s="515"/>
      <c r="C39" s="515"/>
      <c r="D39" s="510"/>
      <c r="E39" s="510"/>
      <c r="F39" s="430"/>
      <c r="G39" s="427"/>
      <c r="H39" s="427"/>
      <c r="I39" s="443">
        <f t="shared" si="1"/>
        <v>0</v>
      </c>
      <c r="J39" s="429"/>
      <c r="K39" s="446" t="str">
        <f>IF(B39="","",IF(J39=1,Data!$K$2,IF(J39=0,Data!$K$5,Data!$K$3)))</f>
        <v/>
      </c>
      <c r="L39" s="448" t="str">
        <f ca="1">IF(H39="","",IF(B39="","",IF(K39=Data!$K$2,"",IF(H39&lt;TODAY(),"!",""))))</f>
        <v/>
      </c>
    </row>
    <row r="40" spans="1:12" s="281" customFormat="1" ht="27" customHeight="1">
      <c r="A40" s="355"/>
      <c r="B40" s="515"/>
      <c r="C40" s="515"/>
      <c r="D40" s="510"/>
      <c r="E40" s="510"/>
      <c r="F40" s="430"/>
      <c r="G40" s="427"/>
      <c r="H40" s="427"/>
      <c r="I40" s="443">
        <f t="shared" si="1"/>
        <v>0</v>
      </c>
      <c r="J40" s="429"/>
      <c r="K40" s="446" t="str">
        <f>IF(B40="","",IF(J40=1,Data!$K$2,IF(J40=0,Data!$K$5,Data!$K$3)))</f>
        <v/>
      </c>
      <c r="L40" s="448" t="str">
        <f ca="1">IF(H40="","",IF(B40="","",IF(K40=Data!$K$2,"",IF(H40&lt;TODAY(),"!",""))))</f>
        <v/>
      </c>
    </row>
    <row r="41" spans="1:12" s="281" customFormat="1" ht="27" customHeight="1">
      <c r="A41" s="355"/>
      <c r="B41" s="515"/>
      <c r="C41" s="515"/>
      <c r="D41" s="510"/>
      <c r="E41" s="510"/>
      <c r="F41" s="430"/>
      <c r="G41" s="427"/>
      <c r="H41" s="427"/>
      <c r="I41" s="443">
        <f t="shared" si="1"/>
        <v>0</v>
      </c>
      <c r="J41" s="429"/>
      <c r="K41" s="446" t="str">
        <f>IF(B41="","",IF(J41=1,Data!$K$2,IF(J41=0,Data!$K$5,Data!$K$3)))</f>
        <v/>
      </c>
      <c r="L41" s="448" t="str">
        <f ca="1">IF(H41="","",IF(B41="","",IF(K41=Data!$K$2,"",IF(H41&lt;TODAY(),"!",""))))</f>
        <v/>
      </c>
    </row>
    <row r="42" spans="1:12" s="281" customFormat="1" ht="27" customHeight="1">
      <c r="A42" s="355"/>
      <c r="B42" s="515"/>
      <c r="C42" s="515"/>
      <c r="D42" s="510"/>
      <c r="E42" s="510"/>
      <c r="F42" s="430"/>
      <c r="G42" s="427"/>
      <c r="H42" s="427"/>
      <c r="I42" s="443">
        <f t="shared" si="1"/>
        <v>0</v>
      </c>
      <c r="J42" s="429"/>
      <c r="K42" s="446" t="str">
        <f>IF(B42="","",IF(J42=1,Data!$K$2,IF(J42=0,Data!$K$5,Data!$K$3)))</f>
        <v/>
      </c>
      <c r="L42" s="448" t="str">
        <f ca="1">IF(H42="","",IF(B42="","",IF(K42=Data!$K$2,"",IF(H42&lt;TODAY(),"!",""))))</f>
        <v/>
      </c>
    </row>
    <row r="43" spans="1:12" s="281" customFormat="1" ht="27" customHeight="1">
      <c r="A43" s="355"/>
      <c r="B43" s="515"/>
      <c r="C43" s="515"/>
      <c r="D43" s="510"/>
      <c r="E43" s="510"/>
      <c r="F43" s="430"/>
      <c r="G43" s="427"/>
      <c r="H43" s="427"/>
      <c r="I43" s="443">
        <f t="shared" si="1"/>
        <v>0</v>
      </c>
      <c r="J43" s="429"/>
      <c r="K43" s="446" t="str">
        <f>IF(B43="","",IF(J43=1,Data!$K$2,IF(J43=0,Data!$K$5,Data!$K$3)))</f>
        <v/>
      </c>
      <c r="L43" s="448" t="str">
        <f ca="1">IF(H43="","",IF(B43="","",IF(K43=Data!$K$2,"",IF(H43&lt;TODAY(),"!",""))))</f>
        <v/>
      </c>
    </row>
    <row r="44" spans="1:12" s="281" customFormat="1" ht="27" customHeight="1">
      <c r="A44" s="355"/>
      <c r="B44" s="515"/>
      <c r="C44" s="515"/>
      <c r="D44" s="510"/>
      <c r="E44" s="510"/>
      <c r="F44" s="430"/>
      <c r="G44" s="427"/>
      <c r="H44" s="427"/>
      <c r="I44" s="443">
        <f t="shared" si="1"/>
        <v>0</v>
      </c>
      <c r="J44" s="429"/>
      <c r="K44" s="446" t="str">
        <f>IF(B44="","",IF(J44=1,Data!$K$2,IF(J44=0,Data!$K$5,Data!$K$3)))</f>
        <v/>
      </c>
      <c r="L44" s="448" t="str">
        <f ca="1">IF(H44="","",IF(B44="","",IF(K44=Data!$K$2,"",IF(H44&lt;TODAY(),"!",""))))</f>
        <v/>
      </c>
    </row>
    <row r="45" spans="1:12" s="281" customFormat="1" ht="27" customHeight="1">
      <c r="A45" s="355"/>
      <c r="B45" s="515"/>
      <c r="C45" s="515"/>
      <c r="D45" s="510"/>
      <c r="E45" s="510"/>
      <c r="F45" s="430"/>
      <c r="G45" s="427"/>
      <c r="H45" s="427"/>
      <c r="I45" s="443">
        <f t="shared" si="1"/>
        <v>0</v>
      </c>
      <c r="J45" s="429"/>
      <c r="K45" s="446" t="str">
        <f>IF(B45="","",IF(J45=1,Data!$K$2,IF(J45=0,Data!$K$5,Data!$K$3)))</f>
        <v/>
      </c>
      <c r="L45" s="448" t="str">
        <f ca="1">IF(H45="","",IF(B45="","",IF(K45=Data!$K$2,"",IF(H45&lt;TODAY(),"!",""))))</f>
        <v/>
      </c>
    </row>
    <row r="46" spans="1:12" s="281" customFormat="1" ht="27" customHeight="1">
      <c r="A46" s="355"/>
      <c r="B46" s="515"/>
      <c r="C46" s="515"/>
      <c r="D46" s="510"/>
      <c r="E46" s="510"/>
      <c r="F46" s="430"/>
      <c r="G46" s="427"/>
      <c r="H46" s="427"/>
      <c r="I46" s="443">
        <f t="shared" si="1"/>
        <v>0</v>
      </c>
      <c r="J46" s="429"/>
      <c r="K46" s="446" t="str">
        <f>IF(B46="","",IF(J46=1,Data!$K$2,IF(J46=0,Data!$K$5,Data!$K$3)))</f>
        <v/>
      </c>
      <c r="L46" s="448" t="str">
        <f ca="1">IF(H46="","",IF(B46="","",IF(K46=Data!$K$2,"",IF(H46&lt;TODAY(),"!",""))))</f>
        <v/>
      </c>
    </row>
    <row r="47" spans="1:12" s="281" customFormat="1" ht="27" customHeight="1">
      <c r="A47" s="355"/>
      <c r="B47" s="515"/>
      <c r="C47" s="515"/>
      <c r="D47" s="510"/>
      <c r="E47" s="510"/>
      <c r="F47" s="430"/>
      <c r="G47" s="427"/>
      <c r="H47" s="427"/>
      <c r="I47" s="443">
        <f t="shared" si="1"/>
        <v>0</v>
      </c>
      <c r="J47" s="429"/>
      <c r="K47" s="446" t="str">
        <f>IF(B47="","",IF(J47=1,Data!$K$2,IF(J47=0,Data!$K$5,Data!$K$3)))</f>
        <v/>
      </c>
      <c r="L47" s="448" t="str">
        <f ca="1">IF(H47="","",IF(B47="","",IF(K47=Data!$K$2,"",IF(H47&lt;TODAY(),"!",""))))</f>
        <v/>
      </c>
    </row>
    <row r="48" spans="1:12" s="281" customFormat="1" ht="27" customHeight="1">
      <c r="A48" s="355"/>
      <c r="B48" s="515"/>
      <c r="C48" s="515"/>
      <c r="D48" s="510"/>
      <c r="E48" s="510"/>
      <c r="F48" s="430"/>
      <c r="G48" s="427"/>
      <c r="H48" s="427"/>
      <c r="I48" s="443">
        <f t="shared" si="1"/>
        <v>0</v>
      </c>
      <c r="J48" s="429"/>
      <c r="K48" s="446" t="str">
        <f>IF(B48="","",IF(J48=1,Data!$K$2,IF(J48=0,Data!$K$5,Data!$K$3)))</f>
        <v/>
      </c>
      <c r="L48" s="448" t="str">
        <f ca="1">IF(H48="","",IF(B48="","",IF(K48=Data!$K$2,"",IF(H48&lt;TODAY(),"!",""))))</f>
        <v/>
      </c>
    </row>
    <row r="49" spans="1:12" s="281" customFormat="1" ht="27" customHeight="1">
      <c r="A49" s="355"/>
      <c r="B49" s="515"/>
      <c r="C49" s="515"/>
      <c r="D49" s="510"/>
      <c r="E49" s="510"/>
      <c r="F49" s="430"/>
      <c r="G49" s="427"/>
      <c r="H49" s="427"/>
      <c r="I49" s="443">
        <f t="shared" si="1"/>
        <v>0</v>
      </c>
      <c r="J49" s="429"/>
      <c r="K49" s="446" t="str">
        <f>IF(B49="","",IF(J49=1,Data!$K$2,IF(J49=0,Data!$K$5,Data!$K$3)))</f>
        <v/>
      </c>
      <c r="L49" s="448" t="str">
        <f ca="1">IF(H49="","",IF(B49="","",IF(K49=Data!$K$2,"",IF(H49&lt;TODAY(),"!",""))))</f>
        <v/>
      </c>
    </row>
    <row r="50" spans="1:12" s="281" customFormat="1" ht="27" customHeight="1">
      <c r="A50" s="355"/>
      <c r="B50" s="515"/>
      <c r="C50" s="515"/>
      <c r="D50" s="510"/>
      <c r="E50" s="510"/>
      <c r="F50" s="430"/>
      <c r="G50" s="427"/>
      <c r="H50" s="427"/>
      <c r="I50" s="443">
        <f t="shared" si="1"/>
        <v>0</v>
      </c>
      <c r="J50" s="429"/>
      <c r="K50" s="446" t="str">
        <f>IF(B50="","",IF(J50=1,Data!$K$2,IF(J50=0,Data!$K$5,Data!$K$3)))</f>
        <v/>
      </c>
      <c r="L50" s="448" t="str">
        <f ca="1">IF(H50="","",IF(B50="","",IF(K50=Data!$K$2,"",IF(H50&lt;TODAY(),"!",""))))</f>
        <v/>
      </c>
    </row>
    <row r="51" spans="1:12" s="281" customFormat="1" ht="27" customHeight="1">
      <c r="A51" s="355"/>
      <c r="B51" s="515"/>
      <c r="C51" s="515"/>
      <c r="D51" s="510"/>
      <c r="E51" s="510"/>
      <c r="F51" s="430"/>
      <c r="G51" s="427"/>
      <c r="H51" s="427"/>
      <c r="I51" s="443">
        <f t="shared" si="1"/>
        <v>0</v>
      </c>
      <c r="J51" s="429"/>
      <c r="K51" s="446" t="str">
        <f>IF(B51="","",IF(J51=1,Data!$K$2,IF(J51=0,Data!$K$5,Data!$K$3)))</f>
        <v/>
      </c>
      <c r="L51" s="448" t="str">
        <f ca="1">IF(H51="","",IF(B51="","",IF(K51=Data!$K$2,"",IF(H51&lt;TODAY(),"!",""))))</f>
        <v/>
      </c>
    </row>
    <row r="52" spans="1:12" s="281" customFormat="1" ht="27" customHeight="1">
      <c r="A52" s="355"/>
      <c r="B52" s="515"/>
      <c r="C52" s="515"/>
      <c r="D52" s="510"/>
      <c r="E52" s="510"/>
      <c r="F52" s="430"/>
      <c r="G52" s="427"/>
      <c r="H52" s="427"/>
      <c r="I52" s="443">
        <f t="shared" si="1"/>
        <v>0</v>
      </c>
      <c r="J52" s="429"/>
      <c r="K52" s="446" t="str">
        <f>IF(B52="","",IF(J52=1,Data!$K$2,IF(J52=0,Data!$K$5,Data!$K$3)))</f>
        <v/>
      </c>
      <c r="L52" s="448" t="str">
        <f ca="1">IF(H52="","",IF(B52="","",IF(K52=Data!$K$2,"",IF(H52&lt;TODAY(),"!",""))))</f>
        <v/>
      </c>
    </row>
    <row r="53" spans="1:12" s="281" customFormat="1" ht="27" customHeight="1">
      <c r="A53" s="355"/>
      <c r="B53" s="515"/>
      <c r="C53" s="515"/>
      <c r="D53" s="510"/>
      <c r="E53" s="510"/>
      <c r="F53" s="430"/>
      <c r="G53" s="427"/>
      <c r="H53" s="427"/>
      <c r="I53" s="443">
        <f t="shared" si="1"/>
        <v>0</v>
      </c>
      <c r="J53" s="429"/>
      <c r="K53" s="446" t="str">
        <f>IF(B53="","",IF(J53=1,Data!$K$2,IF(J53=0,Data!$K$5,Data!$K$3)))</f>
        <v/>
      </c>
      <c r="L53" s="448" t="str">
        <f ca="1">IF(H53="","",IF(B53="","",IF(K53=Data!$K$2,"",IF(H53&lt;TODAY(),"!",""))))</f>
        <v/>
      </c>
    </row>
    <row r="54" spans="1:12" s="281" customFormat="1" ht="27" customHeight="1">
      <c r="A54" s="355"/>
      <c r="B54" s="515"/>
      <c r="C54" s="515"/>
      <c r="D54" s="510"/>
      <c r="E54" s="510"/>
      <c r="F54" s="430"/>
      <c r="G54" s="427"/>
      <c r="H54" s="427"/>
      <c r="I54" s="443">
        <f t="shared" si="1"/>
        <v>0</v>
      </c>
      <c r="J54" s="429"/>
      <c r="K54" s="446" t="str">
        <f>IF(B54="","",IF(J54=1,Data!$K$2,IF(J54=0,Data!$K$5,Data!$K$3)))</f>
        <v/>
      </c>
      <c r="L54" s="448" t="str">
        <f ca="1">IF(H54="","",IF(B54="","",IF(K54=Data!$K$2,"",IF(H54&lt;TODAY(),"!",""))))</f>
        <v/>
      </c>
    </row>
    <row r="55" spans="1:12" s="281" customFormat="1" ht="27" customHeight="1">
      <c r="A55" s="357"/>
      <c r="B55" s="515"/>
      <c r="C55" s="515"/>
      <c r="D55" s="510"/>
      <c r="E55" s="510"/>
      <c r="F55" s="430"/>
      <c r="G55" s="427"/>
      <c r="H55" s="427"/>
      <c r="I55" s="443">
        <f t="shared" si="1"/>
        <v>0</v>
      </c>
      <c r="J55" s="429"/>
      <c r="K55" s="446" t="str">
        <f>IF(B55="","",IF(J55=1,Data!$K$2,IF(J55=0,Data!$K$5,Data!$K$3)))</f>
        <v/>
      </c>
      <c r="L55" s="448" t="str">
        <f ca="1">IF(H55="","",IF(B55="","",IF(K55=Data!$K$2,"",IF(H55&lt;TODAY(),"!",""))))</f>
        <v/>
      </c>
    </row>
    <row r="56" spans="1:12" s="281" customFormat="1" ht="27" customHeight="1">
      <c r="A56" s="357"/>
      <c r="B56" s="515"/>
      <c r="C56" s="515"/>
      <c r="D56" s="510"/>
      <c r="E56" s="510"/>
      <c r="F56" s="430"/>
      <c r="G56" s="427"/>
      <c r="H56" s="427"/>
      <c r="I56" s="443">
        <f t="shared" si="1"/>
        <v>0</v>
      </c>
      <c r="J56" s="429"/>
      <c r="K56" s="446" t="str">
        <f>IF(B56="","",IF(J56=1,Data!$K$2,IF(J56=0,Data!$K$5,Data!$K$3)))</f>
        <v/>
      </c>
      <c r="L56" s="448" t="str">
        <f ca="1">IF(H56="","",IF(B56="","",IF(K56=Data!$K$2,"",IF(H56&lt;TODAY(),"!",""))))</f>
        <v/>
      </c>
    </row>
    <row r="57" spans="1:12" s="281" customFormat="1" ht="27" customHeight="1">
      <c r="A57" s="357"/>
      <c r="B57" s="515"/>
      <c r="C57" s="515"/>
      <c r="D57" s="510"/>
      <c r="E57" s="510"/>
      <c r="F57" s="430"/>
      <c r="G57" s="427"/>
      <c r="H57" s="427"/>
      <c r="I57" s="443">
        <f t="shared" si="1"/>
        <v>0</v>
      </c>
      <c r="J57" s="429"/>
      <c r="K57" s="446" t="str">
        <f>IF(B57="","",IF(J57=1,Data!$K$2,IF(J57=0,Data!$K$5,Data!$K$3)))</f>
        <v/>
      </c>
      <c r="L57" s="448" t="str">
        <f ca="1">IF(H57="","",IF(B57="","",IF(K57=Data!$K$2,"",IF(H57&lt;TODAY(),"!",""))))</f>
        <v/>
      </c>
    </row>
    <row r="58" spans="1:12" s="281" customFormat="1" ht="27" customHeight="1">
      <c r="A58" s="357"/>
      <c r="B58" s="515"/>
      <c r="C58" s="515"/>
      <c r="D58" s="510"/>
      <c r="E58" s="510"/>
      <c r="F58" s="430"/>
      <c r="G58" s="427"/>
      <c r="H58" s="427"/>
      <c r="I58" s="443">
        <f t="shared" si="1"/>
        <v>0</v>
      </c>
      <c r="J58" s="429"/>
      <c r="K58" s="446" t="str">
        <f>IF(B58="","",IF(J58=1,Data!$K$2,IF(J58=0,Data!$K$5,Data!$K$3)))</f>
        <v/>
      </c>
      <c r="L58" s="448" t="str">
        <f ca="1">IF(H58="","",IF(B58="","",IF(K58=Data!$K$2,"",IF(H58&lt;TODAY(),"!",""))))</f>
        <v/>
      </c>
    </row>
    <row r="59" spans="1:12" s="281" customFormat="1" ht="27" customHeight="1">
      <c r="A59" s="357"/>
      <c r="B59" s="515"/>
      <c r="C59" s="515"/>
      <c r="D59" s="510"/>
      <c r="E59" s="510"/>
      <c r="F59" s="430"/>
      <c r="G59" s="427"/>
      <c r="H59" s="427"/>
      <c r="I59" s="443">
        <f t="shared" si="1"/>
        <v>0</v>
      </c>
      <c r="J59" s="429"/>
      <c r="K59" s="446" t="str">
        <f>IF(B59="","",IF(J59=1,Data!$K$2,IF(J59=0,Data!$K$5,Data!$K$3)))</f>
        <v/>
      </c>
      <c r="L59" s="448" t="str">
        <f ca="1">IF(H59="","",IF(B59="","",IF(K59=Data!$K$2,"",IF(H59&lt;TODAY(),"!",""))))</f>
        <v/>
      </c>
    </row>
    <row r="60" spans="1:12" s="281" customFormat="1" ht="27" customHeight="1">
      <c r="A60" s="357"/>
      <c r="B60" s="515"/>
      <c r="C60" s="515"/>
      <c r="D60" s="510"/>
      <c r="E60" s="510"/>
      <c r="F60" s="430"/>
      <c r="G60" s="427"/>
      <c r="H60" s="427"/>
      <c r="I60" s="443">
        <f t="shared" si="1"/>
        <v>0</v>
      </c>
      <c r="J60" s="429"/>
      <c r="K60" s="446" t="str">
        <f>IF(B60="","",IF(J60=1,Data!$K$2,IF(J60=0,Data!$K$5,Data!$K$3)))</f>
        <v/>
      </c>
      <c r="L60" s="448" t="str">
        <f ca="1">IF(H60="","",IF(B60="","",IF(K60=Data!$K$2,"",IF(H60&lt;TODAY(),"!",""))))</f>
        <v/>
      </c>
    </row>
    <row r="61" spans="1:12" s="281" customFormat="1" ht="27" customHeight="1">
      <c r="A61" s="357"/>
      <c r="B61" s="515"/>
      <c r="C61" s="515"/>
      <c r="D61" s="510"/>
      <c r="E61" s="510"/>
      <c r="F61" s="430"/>
      <c r="G61" s="427"/>
      <c r="H61" s="427"/>
      <c r="I61" s="443">
        <f t="shared" si="1"/>
        <v>0</v>
      </c>
      <c r="J61" s="429"/>
      <c r="K61" s="446" t="str">
        <f>IF(B61="","",IF(J61=1,Data!$K$2,IF(J61=0,Data!$K$5,Data!$K$3)))</f>
        <v/>
      </c>
      <c r="L61" s="448" t="str">
        <f ca="1">IF(H61="","",IF(B61="","",IF(K61=Data!$K$2,"",IF(H61&lt;TODAY(),"!",""))))</f>
        <v/>
      </c>
    </row>
    <row r="62" spans="1:12" s="281" customFormat="1" ht="27" customHeight="1">
      <c r="A62" s="357"/>
      <c r="B62" s="515"/>
      <c r="C62" s="515"/>
      <c r="D62" s="510"/>
      <c r="E62" s="510"/>
      <c r="F62" s="430"/>
      <c r="G62" s="427"/>
      <c r="H62" s="427"/>
      <c r="I62" s="443">
        <f t="shared" si="1"/>
        <v>0</v>
      </c>
      <c r="J62" s="429"/>
      <c r="K62" s="446" t="str">
        <f>IF(B62="","",IF(J62=1,Data!$K$2,IF(J62=0,Data!$K$5,Data!$K$3)))</f>
        <v/>
      </c>
      <c r="L62" s="448" t="str">
        <f ca="1">IF(H62="","",IF(B62="","",IF(K62=Data!$K$2,"",IF(H62&lt;TODAY(),"!",""))))</f>
        <v/>
      </c>
    </row>
    <row r="63" spans="1:12" s="281" customFormat="1" ht="27" customHeight="1">
      <c r="A63" s="357"/>
      <c r="B63" s="515"/>
      <c r="C63" s="515"/>
      <c r="D63" s="510"/>
      <c r="E63" s="510"/>
      <c r="F63" s="430"/>
      <c r="G63" s="427"/>
      <c r="H63" s="427"/>
      <c r="I63" s="443">
        <f t="shared" si="1"/>
        <v>0</v>
      </c>
      <c r="J63" s="429"/>
      <c r="K63" s="446" t="str">
        <f>IF(B63="","",IF(J63=1,Data!$K$2,IF(J63=0,Data!$K$5,Data!$K$3)))</f>
        <v/>
      </c>
      <c r="L63" s="448" t="str">
        <f ca="1">IF(H63="","",IF(B63="","",IF(K63=Data!$K$2,"",IF(H63&lt;TODAY(),"!",""))))</f>
        <v/>
      </c>
    </row>
    <row r="64" spans="1:12" s="281" customFormat="1" ht="27" customHeight="1">
      <c r="A64" s="357"/>
      <c r="B64" s="515"/>
      <c r="C64" s="515"/>
      <c r="D64" s="510"/>
      <c r="E64" s="510"/>
      <c r="F64" s="430"/>
      <c r="G64" s="427"/>
      <c r="H64" s="427"/>
      <c r="I64" s="443">
        <f t="shared" si="1"/>
        <v>0</v>
      </c>
      <c r="J64" s="429"/>
      <c r="K64" s="446" t="str">
        <f>IF(B64="","",IF(J64=1,Data!$K$2,IF(J64=0,Data!$K$5,Data!$K$3)))</f>
        <v/>
      </c>
      <c r="L64" s="448" t="str">
        <f ca="1">IF(H64="","",IF(B64="","",IF(K64=Data!$K$2,"",IF(H64&lt;TODAY(),"!",""))))</f>
        <v/>
      </c>
    </row>
    <row r="65" spans="1:12" s="281" customFormat="1" ht="27" customHeight="1">
      <c r="A65" s="357"/>
      <c r="B65" s="515"/>
      <c r="C65" s="515"/>
      <c r="D65" s="510"/>
      <c r="E65" s="510"/>
      <c r="F65" s="430"/>
      <c r="G65" s="427"/>
      <c r="H65" s="427"/>
      <c r="I65" s="443">
        <f t="shared" si="1"/>
        <v>0</v>
      </c>
      <c r="J65" s="429"/>
      <c r="K65" s="446" t="str">
        <f>IF(B65="","",IF(J65=1,Data!$K$2,IF(J65=0,Data!$K$5,Data!$K$3)))</f>
        <v/>
      </c>
      <c r="L65" s="448" t="str">
        <f ca="1">IF(H65="","",IF(B65="","",IF(K65=Data!$K$2,"",IF(H65&lt;TODAY(),"!",""))))</f>
        <v/>
      </c>
    </row>
    <row r="66" spans="1:12" s="281" customFormat="1" ht="27" customHeight="1">
      <c r="A66" s="357"/>
      <c r="B66" s="515"/>
      <c r="C66" s="515"/>
      <c r="D66" s="510"/>
      <c r="E66" s="510"/>
      <c r="F66" s="430"/>
      <c r="G66" s="427"/>
      <c r="H66" s="427"/>
      <c r="I66" s="443">
        <f t="shared" si="1"/>
        <v>0</v>
      </c>
      <c r="J66" s="429"/>
      <c r="K66" s="446" t="str">
        <f>IF(B66="","",IF(J66=1,Data!$K$2,IF(J66=0,Data!$K$5,Data!$K$3)))</f>
        <v/>
      </c>
      <c r="L66" s="448" t="str">
        <f ca="1">IF(H66="","",IF(B66="","",IF(K66=Data!$K$2,"",IF(H66&lt;TODAY(),"!",""))))</f>
        <v/>
      </c>
    </row>
    <row r="67" spans="1:12" s="281" customFormat="1" ht="27" customHeight="1">
      <c r="A67" s="357"/>
      <c r="B67" s="515"/>
      <c r="C67" s="515"/>
      <c r="D67" s="510"/>
      <c r="E67" s="510"/>
      <c r="F67" s="430"/>
      <c r="G67" s="427"/>
      <c r="H67" s="427"/>
      <c r="I67" s="443">
        <f t="shared" si="1"/>
        <v>0</v>
      </c>
      <c r="J67" s="429"/>
      <c r="K67" s="446" t="str">
        <f>IF(B67="","",IF(J67=1,Data!$K$2,IF(J67=0,Data!$K$5,Data!$K$3)))</f>
        <v/>
      </c>
      <c r="L67" s="448" t="str">
        <f ca="1">IF(H67="","",IF(B67="","",IF(K67=Data!$K$2,"",IF(H67&lt;TODAY(),"!",""))))</f>
        <v/>
      </c>
    </row>
    <row r="68" spans="1:12" ht="27" customHeight="1">
      <c r="B68" s="515"/>
      <c r="C68" s="515"/>
      <c r="D68" s="510"/>
      <c r="E68" s="510"/>
      <c r="F68" s="432"/>
      <c r="G68" s="433"/>
      <c r="H68" s="433"/>
      <c r="I68" s="444">
        <f t="shared" si="1"/>
        <v>0</v>
      </c>
      <c r="J68" s="434"/>
      <c r="K68" s="446" t="str">
        <f>IF(B68="","",IF(J68=1,Data!$K$2,IF(J68=0,Data!$K$5,Data!$K$3)))</f>
        <v/>
      </c>
      <c r="L68" s="448" t="str">
        <f ca="1">IF(H68="","",IF(B68="","",IF(K68=Data!$K$2,"",IF(H68&lt;TODAY(),"!",""))))</f>
        <v/>
      </c>
    </row>
    <row r="69" spans="1:12" ht="27" customHeight="1">
      <c r="B69" s="515"/>
      <c r="C69" s="515"/>
      <c r="D69" s="510"/>
      <c r="E69" s="510"/>
      <c r="F69" s="432"/>
      <c r="G69" s="433"/>
      <c r="H69" s="433"/>
      <c r="I69" s="444">
        <f t="shared" si="1"/>
        <v>0</v>
      </c>
      <c r="J69" s="434"/>
      <c r="K69" s="446" t="str">
        <f>IF(B69="","",IF(J69=1,Data!$K$2,IF(J69=0,Data!$K$5,Data!$K$3)))</f>
        <v/>
      </c>
      <c r="L69" s="448" t="str">
        <f ca="1">IF(H69="","",IF(B69="","",IF(K69=Data!$K$2,"",IF(H69&lt;TODAY(),"!",""))))</f>
        <v/>
      </c>
    </row>
    <row r="70" spans="1:12" ht="27" customHeight="1">
      <c r="B70" s="515"/>
      <c r="C70" s="515"/>
      <c r="D70" s="510"/>
      <c r="E70" s="510"/>
      <c r="F70" s="432"/>
      <c r="G70" s="433"/>
      <c r="H70" s="433"/>
      <c r="I70" s="444">
        <f t="shared" si="1"/>
        <v>0</v>
      </c>
      <c r="J70" s="434"/>
      <c r="K70" s="446" t="str">
        <f>IF(B70="","",IF(J70=1,Data!$K$2,IF(J70=0,Data!$K$5,Data!$K$3)))</f>
        <v/>
      </c>
      <c r="L70" s="448" t="str">
        <f ca="1">IF(H70="","",IF(B70="","",IF(K70=Data!$K$2,"",IF(H70&lt;TODAY(),"!",""))))</f>
        <v/>
      </c>
    </row>
    <row r="71" spans="1:12" ht="27" customHeight="1">
      <c r="B71" s="515"/>
      <c r="C71" s="515"/>
      <c r="D71" s="510"/>
      <c r="E71" s="510"/>
      <c r="F71" s="432"/>
      <c r="G71" s="433"/>
      <c r="H71" s="433"/>
      <c r="I71" s="444">
        <f t="shared" si="1"/>
        <v>0</v>
      </c>
      <c r="J71" s="434"/>
      <c r="K71" s="446" t="str">
        <f>IF(B71="","",IF(J71=1,Data!$K$2,IF(J71=0,Data!$K$5,Data!$K$3)))</f>
        <v/>
      </c>
      <c r="L71" s="448" t="str">
        <f ca="1">IF(H71="","",IF(B71="","",IF(K71=Data!$K$2,"",IF(H71&lt;TODAY(),"!",""))))</f>
        <v/>
      </c>
    </row>
    <row r="72" spans="1:12" ht="27" customHeight="1">
      <c r="B72" s="515"/>
      <c r="C72" s="515"/>
      <c r="D72" s="510"/>
      <c r="E72" s="510"/>
      <c r="F72" s="432"/>
      <c r="G72" s="433"/>
      <c r="H72" s="433"/>
      <c r="I72" s="444">
        <f t="shared" si="1"/>
        <v>0</v>
      </c>
      <c r="J72" s="434"/>
      <c r="K72" s="446" t="str">
        <f>IF(B72="","",IF(J72=1,Data!$K$2,IF(J72=0,Data!$K$5,Data!$K$3)))</f>
        <v/>
      </c>
      <c r="L72" s="448" t="str">
        <f ca="1">IF(H72="","",IF(B72="","",IF(K72=Data!$K$2,"",IF(H72&lt;TODAY(),"!",""))))</f>
        <v/>
      </c>
    </row>
    <row r="73" spans="1:12" ht="27" customHeight="1">
      <c r="B73" s="515"/>
      <c r="C73" s="515"/>
      <c r="D73" s="510"/>
      <c r="E73" s="510"/>
      <c r="F73" s="432"/>
      <c r="G73" s="433"/>
      <c r="H73" s="433"/>
      <c r="I73" s="444">
        <f t="shared" si="1"/>
        <v>0</v>
      </c>
      <c r="J73" s="434"/>
      <c r="K73" s="446" t="str">
        <f>IF(B73="","",IF(J73=1,Data!$K$2,IF(J73=0,Data!$K$5,Data!$K$3)))</f>
        <v/>
      </c>
      <c r="L73" s="448" t="str">
        <f ca="1">IF(H73="","",IF(B73="","",IF(K73=Data!$K$2,"",IF(H73&lt;TODAY(),"!",""))))</f>
        <v/>
      </c>
    </row>
    <row r="74" spans="1:12" ht="27" customHeight="1">
      <c r="B74" s="515"/>
      <c r="C74" s="515"/>
      <c r="D74" s="510"/>
      <c r="E74" s="510"/>
      <c r="F74" s="432"/>
      <c r="G74" s="433"/>
      <c r="H74" s="433"/>
      <c r="I74" s="444">
        <f t="shared" si="1"/>
        <v>0</v>
      </c>
      <c r="J74" s="434"/>
      <c r="K74" s="446" t="str">
        <f>IF(B74="","",IF(J74=1,Data!$K$2,IF(J74=0,Data!$K$5,Data!$K$3)))</f>
        <v/>
      </c>
      <c r="L74" s="448" t="str">
        <f ca="1">IF(H74="","",IF(B74="","",IF(K74=Data!$K$2,"",IF(H74&lt;TODAY(),"!",""))))</f>
        <v/>
      </c>
    </row>
    <row r="75" spans="1:12" ht="27" customHeight="1">
      <c r="B75" s="515"/>
      <c r="C75" s="515"/>
      <c r="D75" s="510"/>
      <c r="E75" s="510"/>
      <c r="F75" s="432"/>
      <c r="G75" s="433"/>
      <c r="H75" s="433"/>
      <c r="I75" s="444">
        <f t="shared" si="1"/>
        <v>0</v>
      </c>
      <c r="J75" s="434"/>
      <c r="K75" s="446" t="str">
        <f>IF(B75="","",IF(J75=1,Data!$K$2,IF(J75=0,Data!$K$5,Data!$K$3)))</f>
        <v/>
      </c>
      <c r="L75" s="448" t="str">
        <f ca="1">IF(H75="","",IF(B75="","",IF(K75=Data!$K$2,"",IF(H75&lt;TODAY(),"!",""))))</f>
        <v/>
      </c>
    </row>
    <row r="76" spans="1:12" ht="27" customHeight="1">
      <c r="B76" s="515"/>
      <c r="C76" s="515"/>
      <c r="D76" s="510"/>
      <c r="E76" s="510"/>
      <c r="F76" s="432"/>
      <c r="G76" s="433"/>
      <c r="H76" s="433"/>
      <c r="I76" s="444">
        <f t="shared" si="1"/>
        <v>0</v>
      </c>
      <c r="J76" s="434"/>
      <c r="K76" s="446" t="str">
        <f>IF(B76="","",IF(J76=1,Data!$K$2,IF(J76=0,Data!$K$5,Data!$K$3)))</f>
        <v/>
      </c>
      <c r="L76" s="448" t="str">
        <f ca="1">IF(H76="","",IF(B76="","",IF(K76=Data!$K$2,"",IF(H76&lt;TODAY(),"!",""))))</f>
        <v/>
      </c>
    </row>
    <row r="77" spans="1:12" ht="27" customHeight="1">
      <c r="B77" s="515"/>
      <c r="C77" s="515"/>
      <c r="D77" s="510"/>
      <c r="E77" s="510"/>
      <c r="F77" s="432"/>
      <c r="G77" s="433"/>
      <c r="H77" s="433"/>
      <c r="I77" s="444">
        <f t="shared" ref="I77:I111" si="2">IFERROR(H77-G77,0)</f>
        <v>0</v>
      </c>
      <c r="J77" s="434"/>
      <c r="K77" s="446" t="str">
        <f>IF(B77="","",IF(J77=1,Data!$K$2,IF(J77=0,Data!$K$5,Data!$K$3)))</f>
        <v/>
      </c>
      <c r="L77" s="448" t="str">
        <f ca="1">IF(H77="","",IF(B77="","",IF(K77=Data!$K$2,"",IF(H77&lt;TODAY(),"!",""))))</f>
        <v/>
      </c>
    </row>
    <row r="78" spans="1:12" ht="27" customHeight="1">
      <c r="B78" s="515"/>
      <c r="C78" s="515"/>
      <c r="D78" s="510"/>
      <c r="E78" s="510"/>
      <c r="F78" s="432"/>
      <c r="G78" s="433"/>
      <c r="H78" s="433"/>
      <c r="I78" s="444">
        <f t="shared" si="2"/>
        <v>0</v>
      </c>
      <c r="J78" s="434"/>
      <c r="K78" s="446" t="str">
        <f>IF(B78="","",IF(J78=1,Data!$K$2,IF(J78=0,Data!$K$5,Data!$K$3)))</f>
        <v/>
      </c>
      <c r="L78" s="448" t="str">
        <f ca="1">IF(H78="","",IF(B78="","",IF(K78=Data!$K$2,"",IF(H78&lt;TODAY(),"!",""))))</f>
        <v/>
      </c>
    </row>
    <row r="79" spans="1:12" ht="27" customHeight="1">
      <c r="B79" s="515"/>
      <c r="C79" s="515"/>
      <c r="D79" s="510"/>
      <c r="E79" s="510"/>
      <c r="F79" s="432"/>
      <c r="G79" s="433"/>
      <c r="H79" s="433"/>
      <c r="I79" s="444">
        <f t="shared" si="2"/>
        <v>0</v>
      </c>
      <c r="J79" s="434"/>
      <c r="K79" s="446" t="str">
        <f>IF(B79="","",IF(J79=1,Data!$K$2,IF(J79=0,Data!$K$5,Data!$K$3)))</f>
        <v/>
      </c>
      <c r="L79" s="448" t="str">
        <f ca="1">IF(H79="","",IF(B79="","",IF(K79=Data!$K$2,"",IF(H79&lt;TODAY(),"!",""))))</f>
        <v/>
      </c>
    </row>
    <row r="80" spans="1:12" ht="27" customHeight="1">
      <c r="B80" s="515"/>
      <c r="C80" s="515"/>
      <c r="D80" s="510"/>
      <c r="E80" s="510"/>
      <c r="F80" s="432"/>
      <c r="G80" s="433"/>
      <c r="H80" s="433"/>
      <c r="I80" s="444">
        <f t="shared" si="2"/>
        <v>0</v>
      </c>
      <c r="J80" s="434"/>
      <c r="K80" s="446" t="str">
        <f>IF(B80="","",IF(J80=1,Data!$K$2,IF(J80=0,Data!$K$5,Data!$K$3)))</f>
        <v/>
      </c>
      <c r="L80" s="448" t="str">
        <f ca="1">IF(H80="","",IF(B80="","",IF(K80=Data!$K$2,"",IF(H80&lt;TODAY(),"!",""))))</f>
        <v/>
      </c>
    </row>
    <row r="81" spans="2:12" ht="27" customHeight="1">
      <c r="B81" s="515"/>
      <c r="C81" s="515"/>
      <c r="D81" s="510"/>
      <c r="E81" s="510"/>
      <c r="F81" s="432"/>
      <c r="G81" s="433"/>
      <c r="H81" s="433"/>
      <c r="I81" s="444">
        <f t="shared" si="2"/>
        <v>0</v>
      </c>
      <c r="J81" s="434"/>
      <c r="K81" s="446" t="str">
        <f>IF(B81="","",IF(J81=1,Data!$K$2,IF(J81=0,Data!$K$5,Data!$K$3)))</f>
        <v/>
      </c>
      <c r="L81" s="448" t="str">
        <f ca="1">IF(H81="","",IF(B81="","",IF(K81=Data!$K$2,"",IF(H81&lt;TODAY(),"!",""))))</f>
        <v/>
      </c>
    </row>
    <row r="82" spans="2:12" ht="27" customHeight="1">
      <c r="B82" s="515"/>
      <c r="C82" s="515"/>
      <c r="D82" s="510"/>
      <c r="E82" s="510"/>
      <c r="F82" s="432"/>
      <c r="G82" s="433"/>
      <c r="H82" s="433"/>
      <c r="I82" s="444">
        <f t="shared" si="2"/>
        <v>0</v>
      </c>
      <c r="J82" s="434"/>
      <c r="K82" s="446" t="str">
        <f>IF(B82="","",IF(J82=1,Data!$K$2,IF(J82=0,Data!$K$5,Data!$K$3)))</f>
        <v/>
      </c>
      <c r="L82" s="448" t="str">
        <f ca="1">IF(H82="","",IF(B82="","",IF(K82=Data!$K$2,"",IF(H82&lt;TODAY(),"!",""))))</f>
        <v/>
      </c>
    </row>
    <row r="83" spans="2:12" ht="27" customHeight="1">
      <c r="B83" s="515"/>
      <c r="C83" s="515"/>
      <c r="D83" s="510"/>
      <c r="E83" s="510"/>
      <c r="F83" s="432"/>
      <c r="G83" s="433"/>
      <c r="H83" s="433"/>
      <c r="I83" s="444">
        <f t="shared" si="2"/>
        <v>0</v>
      </c>
      <c r="J83" s="434"/>
      <c r="K83" s="446" t="str">
        <f>IF(B83="","",IF(J83=1,Data!$K$2,IF(J83=0,Data!$K$5,Data!$K$3)))</f>
        <v/>
      </c>
      <c r="L83" s="448" t="str">
        <f ca="1">IF(H83="","",IF(B83="","",IF(K83=Data!$K$2,"",IF(H83&lt;TODAY(),"!",""))))</f>
        <v/>
      </c>
    </row>
    <row r="84" spans="2:12" ht="27" customHeight="1">
      <c r="B84" s="515"/>
      <c r="C84" s="515"/>
      <c r="D84" s="510"/>
      <c r="E84" s="510"/>
      <c r="F84" s="432"/>
      <c r="G84" s="433"/>
      <c r="H84" s="433"/>
      <c r="I84" s="444">
        <f t="shared" si="2"/>
        <v>0</v>
      </c>
      <c r="J84" s="434"/>
      <c r="K84" s="446" t="str">
        <f>IF(B84="","",IF(J84=1,Data!$K$2,IF(J84=0,Data!$K$5,Data!$K$3)))</f>
        <v/>
      </c>
      <c r="L84" s="448" t="str">
        <f ca="1">IF(H84="","",IF(B84="","",IF(K84=Data!$K$2,"",IF(H84&lt;TODAY(),"!",""))))</f>
        <v/>
      </c>
    </row>
    <row r="85" spans="2:12" ht="27" customHeight="1">
      <c r="B85" s="515"/>
      <c r="C85" s="515"/>
      <c r="D85" s="510"/>
      <c r="E85" s="510"/>
      <c r="F85" s="432"/>
      <c r="G85" s="433"/>
      <c r="H85" s="433"/>
      <c r="I85" s="444">
        <f t="shared" si="2"/>
        <v>0</v>
      </c>
      <c r="J85" s="434"/>
      <c r="K85" s="446" t="str">
        <f>IF(B85="","",IF(J85=1,Data!$K$2,IF(J85=0,Data!$K$5,Data!$K$3)))</f>
        <v/>
      </c>
      <c r="L85" s="448" t="str">
        <f ca="1">IF(H85="","",IF(B85="","",IF(K85=Data!$K$2,"",IF(H85&lt;TODAY(),"!",""))))</f>
        <v/>
      </c>
    </row>
    <row r="86" spans="2:12" ht="27" customHeight="1">
      <c r="B86" s="515"/>
      <c r="C86" s="515"/>
      <c r="D86" s="510"/>
      <c r="E86" s="510"/>
      <c r="F86" s="432"/>
      <c r="G86" s="433"/>
      <c r="H86" s="433"/>
      <c r="I86" s="444">
        <f t="shared" si="2"/>
        <v>0</v>
      </c>
      <c r="J86" s="434"/>
      <c r="K86" s="446" t="str">
        <f>IF(B86="","",IF(J86=1,Data!$K$2,IF(J86=0,Data!$K$5,Data!$K$3)))</f>
        <v/>
      </c>
      <c r="L86" s="448" t="str">
        <f ca="1">IF(H86="","",IF(B86="","",IF(K86=Data!$K$2,"",IF(H86&lt;TODAY(),"!",""))))</f>
        <v/>
      </c>
    </row>
    <row r="87" spans="2:12" ht="27" customHeight="1">
      <c r="B87" s="515"/>
      <c r="C87" s="515"/>
      <c r="D87" s="510"/>
      <c r="E87" s="510"/>
      <c r="F87" s="432"/>
      <c r="G87" s="433"/>
      <c r="H87" s="433"/>
      <c r="I87" s="444">
        <f t="shared" si="2"/>
        <v>0</v>
      </c>
      <c r="J87" s="434"/>
      <c r="K87" s="446" t="str">
        <f>IF(B87="","",IF(J87=1,Data!$K$2,IF(J87=0,Data!$K$5,Data!$K$3)))</f>
        <v/>
      </c>
      <c r="L87" s="448" t="str">
        <f ca="1">IF(H87="","",IF(B87="","",IF(K87=Data!$K$2,"",IF(H87&lt;TODAY(),"!",""))))</f>
        <v/>
      </c>
    </row>
    <row r="88" spans="2:12" ht="27" customHeight="1">
      <c r="B88" s="515"/>
      <c r="C88" s="515"/>
      <c r="D88" s="510"/>
      <c r="E88" s="510"/>
      <c r="F88" s="432"/>
      <c r="G88" s="433"/>
      <c r="H88" s="433"/>
      <c r="I88" s="444">
        <f t="shared" si="2"/>
        <v>0</v>
      </c>
      <c r="J88" s="434"/>
      <c r="K88" s="446" t="str">
        <f>IF(B88="","",IF(J88=1,Data!$K$2,IF(J88=0,Data!$K$5,Data!$K$3)))</f>
        <v/>
      </c>
      <c r="L88" s="448" t="str">
        <f ca="1">IF(H88="","",IF(B88="","",IF(K88=Data!$K$2,"",IF(H88&lt;TODAY(),"!",""))))</f>
        <v/>
      </c>
    </row>
    <row r="89" spans="2:12" ht="27" customHeight="1">
      <c r="B89" s="515"/>
      <c r="C89" s="515"/>
      <c r="D89" s="510"/>
      <c r="E89" s="510"/>
      <c r="F89" s="432"/>
      <c r="G89" s="433"/>
      <c r="H89" s="433"/>
      <c r="I89" s="444">
        <f t="shared" si="2"/>
        <v>0</v>
      </c>
      <c r="J89" s="434"/>
      <c r="K89" s="446" t="str">
        <f>IF(B89="","",IF(J89=1,Data!$K$2,IF(J89=0,Data!$K$5,Data!$K$3)))</f>
        <v/>
      </c>
      <c r="L89" s="448" t="str">
        <f ca="1">IF(H89="","",IF(B89="","",IF(K89=Data!$K$2,"",IF(H89&lt;TODAY(),"!",""))))</f>
        <v/>
      </c>
    </row>
    <row r="90" spans="2:12" ht="27" customHeight="1">
      <c r="B90" s="515"/>
      <c r="C90" s="515"/>
      <c r="D90" s="510"/>
      <c r="E90" s="510"/>
      <c r="F90" s="432"/>
      <c r="G90" s="433"/>
      <c r="H90" s="433"/>
      <c r="I90" s="444">
        <f t="shared" si="2"/>
        <v>0</v>
      </c>
      <c r="J90" s="434"/>
      <c r="K90" s="446" t="str">
        <f>IF(B90="","",IF(J90=1,Data!$K$2,IF(J90=0,Data!$K$5,Data!$K$3)))</f>
        <v/>
      </c>
      <c r="L90" s="448" t="str">
        <f ca="1">IF(H90="","",IF(B90="","",IF(K90=Data!$K$2,"",IF(H90&lt;TODAY(),"!",""))))</f>
        <v/>
      </c>
    </row>
    <row r="91" spans="2:12" ht="27" customHeight="1">
      <c r="B91" s="515"/>
      <c r="C91" s="515"/>
      <c r="D91" s="510"/>
      <c r="E91" s="510"/>
      <c r="F91" s="432"/>
      <c r="G91" s="433"/>
      <c r="H91" s="433"/>
      <c r="I91" s="444">
        <f t="shared" si="2"/>
        <v>0</v>
      </c>
      <c r="J91" s="434"/>
      <c r="K91" s="446" t="str">
        <f>IF(B91="","",IF(J91=1,Data!$K$2,IF(J91=0,Data!$K$5,Data!$K$3)))</f>
        <v/>
      </c>
      <c r="L91" s="448" t="str">
        <f ca="1">IF(H91="","",IF(B91="","",IF(K91=Data!$K$2,"",IF(H91&lt;TODAY(),"!",""))))</f>
        <v/>
      </c>
    </row>
    <row r="92" spans="2:12" ht="27" customHeight="1">
      <c r="B92" s="515"/>
      <c r="C92" s="515"/>
      <c r="D92" s="510"/>
      <c r="E92" s="510"/>
      <c r="F92" s="432"/>
      <c r="G92" s="433"/>
      <c r="H92" s="433"/>
      <c r="I92" s="444">
        <f t="shared" si="2"/>
        <v>0</v>
      </c>
      <c r="J92" s="434"/>
      <c r="K92" s="446" t="str">
        <f>IF(B92="","",IF(J92=1,Data!$K$2,IF(J92=0,Data!$K$5,Data!$K$3)))</f>
        <v/>
      </c>
      <c r="L92" s="448" t="str">
        <f ca="1">IF(H92="","",IF(B92="","",IF(K92=Data!$K$2,"",IF(H92&lt;TODAY(),"!",""))))</f>
        <v/>
      </c>
    </row>
    <row r="93" spans="2:12" ht="27" customHeight="1">
      <c r="B93" s="515"/>
      <c r="C93" s="515"/>
      <c r="D93" s="510"/>
      <c r="E93" s="510"/>
      <c r="F93" s="432"/>
      <c r="G93" s="433"/>
      <c r="H93" s="433"/>
      <c r="I93" s="444">
        <f t="shared" si="2"/>
        <v>0</v>
      </c>
      <c r="J93" s="434"/>
      <c r="K93" s="446" t="str">
        <f>IF(B93="","",IF(J93=1,Data!$K$2,IF(J93=0,Data!$K$5,Data!$K$3)))</f>
        <v/>
      </c>
      <c r="L93" s="448" t="str">
        <f ca="1">IF(H93="","",IF(B93="","",IF(K93=Data!$K$2,"",IF(H93&lt;TODAY(),"!",""))))</f>
        <v/>
      </c>
    </row>
    <row r="94" spans="2:12" ht="27" customHeight="1">
      <c r="B94" s="515"/>
      <c r="C94" s="515"/>
      <c r="D94" s="510"/>
      <c r="E94" s="510"/>
      <c r="F94" s="432"/>
      <c r="G94" s="433"/>
      <c r="H94" s="433"/>
      <c r="I94" s="444">
        <f t="shared" si="2"/>
        <v>0</v>
      </c>
      <c r="J94" s="434"/>
      <c r="K94" s="446" t="str">
        <f>IF(B94="","",IF(J94=1,Data!$K$2,IF(J94=0,Data!$K$5,Data!$K$3)))</f>
        <v/>
      </c>
      <c r="L94" s="448" t="str">
        <f ca="1">IF(H94="","",IF(B94="","",IF(K94=Data!$K$2,"",IF(H94&lt;TODAY(),"!",""))))</f>
        <v/>
      </c>
    </row>
    <row r="95" spans="2:12" ht="27" customHeight="1">
      <c r="B95" s="515"/>
      <c r="C95" s="515"/>
      <c r="D95" s="510"/>
      <c r="E95" s="510"/>
      <c r="F95" s="432"/>
      <c r="G95" s="433"/>
      <c r="H95" s="433"/>
      <c r="I95" s="444">
        <f t="shared" si="2"/>
        <v>0</v>
      </c>
      <c r="J95" s="434"/>
      <c r="K95" s="446" t="str">
        <f>IF(B95="","",IF(J95=1,Data!$K$2,IF(J95=0,Data!$K$5,Data!$K$3)))</f>
        <v/>
      </c>
      <c r="L95" s="448" t="str">
        <f ca="1">IF(H95="","",IF(B95="","",IF(K95=Data!$K$2,"",IF(H95&lt;TODAY(),"!",""))))</f>
        <v/>
      </c>
    </row>
    <row r="96" spans="2:12" ht="27" customHeight="1">
      <c r="B96" s="515"/>
      <c r="C96" s="515"/>
      <c r="D96" s="510"/>
      <c r="E96" s="510"/>
      <c r="F96" s="432"/>
      <c r="G96" s="433"/>
      <c r="H96" s="433"/>
      <c r="I96" s="444">
        <f t="shared" si="2"/>
        <v>0</v>
      </c>
      <c r="J96" s="434"/>
      <c r="K96" s="446" t="str">
        <f>IF(B96="","",IF(J96=1,Data!$K$2,IF(J96=0,Data!$K$5,Data!$K$3)))</f>
        <v/>
      </c>
      <c r="L96" s="448" t="str">
        <f ca="1">IF(H96="","",IF(B96="","",IF(K96=Data!$K$2,"",IF(H96&lt;TODAY(),"!",""))))</f>
        <v/>
      </c>
    </row>
    <row r="97" spans="2:12" ht="27" customHeight="1">
      <c r="B97" s="515"/>
      <c r="C97" s="515"/>
      <c r="D97" s="510"/>
      <c r="E97" s="510"/>
      <c r="F97" s="432"/>
      <c r="G97" s="433"/>
      <c r="H97" s="433"/>
      <c r="I97" s="444">
        <f t="shared" si="2"/>
        <v>0</v>
      </c>
      <c r="J97" s="434"/>
      <c r="K97" s="446" t="str">
        <f>IF(B97="","",IF(J97=1,Data!$K$2,IF(J97=0,Data!$K$5,Data!$K$3)))</f>
        <v/>
      </c>
      <c r="L97" s="448" t="str">
        <f ca="1">IF(H97="","",IF(B97="","",IF(K97=Data!$K$2,"",IF(H97&lt;TODAY(),"!",""))))</f>
        <v/>
      </c>
    </row>
    <row r="98" spans="2:12" ht="27" customHeight="1">
      <c r="B98" s="515"/>
      <c r="C98" s="515"/>
      <c r="D98" s="510"/>
      <c r="E98" s="510"/>
      <c r="F98" s="432"/>
      <c r="G98" s="433"/>
      <c r="H98" s="433"/>
      <c r="I98" s="444">
        <f t="shared" si="2"/>
        <v>0</v>
      </c>
      <c r="J98" s="434"/>
      <c r="K98" s="446" t="str">
        <f>IF(B98="","",IF(J98=1,Data!$K$2,IF(J98=0,Data!$K$5,Data!$K$3)))</f>
        <v/>
      </c>
      <c r="L98" s="448" t="str">
        <f ca="1">IF(H98="","",IF(B98="","",IF(K98=Data!$K$2,"",IF(H98&lt;TODAY(),"!",""))))</f>
        <v/>
      </c>
    </row>
    <row r="99" spans="2:12" ht="27" customHeight="1">
      <c r="B99" s="515"/>
      <c r="C99" s="515"/>
      <c r="D99" s="510"/>
      <c r="E99" s="510"/>
      <c r="F99" s="432"/>
      <c r="G99" s="433"/>
      <c r="H99" s="433"/>
      <c r="I99" s="444">
        <f t="shared" si="2"/>
        <v>0</v>
      </c>
      <c r="J99" s="434"/>
      <c r="K99" s="446" t="str">
        <f>IF(B99="","",IF(J99=1,Data!$K$2,IF(J99=0,Data!$K$5,Data!$K$3)))</f>
        <v/>
      </c>
      <c r="L99" s="448" t="str">
        <f ca="1">IF(H99="","",IF(B99="","",IF(K99=Data!$K$2,"",IF(H99&lt;TODAY(),"!",""))))</f>
        <v/>
      </c>
    </row>
    <row r="100" spans="2:12" ht="27" customHeight="1">
      <c r="B100" s="515"/>
      <c r="C100" s="515"/>
      <c r="D100" s="510"/>
      <c r="E100" s="510"/>
      <c r="F100" s="432"/>
      <c r="G100" s="433"/>
      <c r="H100" s="433"/>
      <c r="I100" s="444">
        <f t="shared" si="2"/>
        <v>0</v>
      </c>
      <c r="J100" s="434"/>
      <c r="K100" s="446" t="str">
        <f>IF(B100="","",IF(J100=1,Data!$K$2,IF(J100=0,Data!$K$5,Data!$K$3)))</f>
        <v/>
      </c>
      <c r="L100" s="448" t="str">
        <f ca="1">IF(H100="","",IF(B100="","",IF(K100=Data!$K$2,"",IF(H100&lt;TODAY(),"!",""))))</f>
        <v/>
      </c>
    </row>
    <row r="101" spans="2:12" ht="27" customHeight="1">
      <c r="B101" s="515"/>
      <c r="C101" s="515"/>
      <c r="D101" s="510"/>
      <c r="E101" s="510"/>
      <c r="F101" s="432"/>
      <c r="G101" s="433"/>
      <c r="H101" s="433"/>
      <c r="I101" s="444">
        <f t="shared" si="2"/>
        <v>0</v>
      </c>
      <c r="J101" s="434"/>
      <c r="K101" s="446" t="str">
        <f>IF(B101="","",IF(J101=1,Data!$K$2,IF(J101=0,Data!$K$5,Data!$K$3)))</f>
        <v/>
      </c>
      <c r="L101" s="448" t="str">
        <f ca="1">IF(H101="","",IF(B101="","",IF(K101=Data!$K$2,"",IF(H101&lt;TODAY(),"!",""))))</f>
        <v/>
      </c>
    </row>
    <row r="102" spans="2:12" ht="27" customHeight="1">
      <c r="B102" s="515"/>
      <c r="C102" s="515"/>
      <c r="D102" s="510"/>
      <c r="E102" s="510"/>
      <c r="F102" s="432"/>
      <c r="G102" s="433"/>
      <c r="H102" s="433"/>
      <c r="I102" s="444">
        <f t="shared" si="2"/>
        <v>0</v>
      </c>
      <c r="J102" s="434"/>
      <c r="K102" s="446" t="str">
        <f>IF(B102="","",IF(J102=1,Data!$K$2,IF(J102=0,Data!$K$5,Data!$K$3)))</f>
        <v/>
      </c>
      <c r="L102" s="448" t="str">
        <f ca="1">IF(H102="","",IF(B102="","",IF(K102=Data!$K$2,"",IF(H102&lt;TODAY(),"!",""))))</f>
        <v/>
      </c>
    </row>
    <row r="103" spans="2:12" ht="27" customHeight="1">
      <c r="B103" s="515"/>
      <c r="C103" s="515"/>
      <c r="D103" s="510"/>
      <c r="E103" s="510"/>
      <c r="F103" s="432"/>
      <c r="G103" s="433"/>
      <c r="H103" s="433"/>
      <c r="I103" s="444">
        <f t="shared" si="2"/>
        <v>0</v>
      </c>
      <c r="J103" s="434"/>
      <c r="K103" s="446" t="str">
        <f>IF(B103="","",IF(J103=1,Data!$K$2,IF(J103=0,Data!$K$5,Data!$K$3)))</f>
        <v/>
      </c>
      <c r="L103" s="448" t="str">
        <f ca="1">IF(H103="","",IF(B103="","",IF(K103=Data!$K$2,"",IF(H103&lt;TODAY(),"!",""))))</f>
        <v/>
      </c>
    </row>
    <row r="104" spans="2:12" ht="27" customHeight="1">
      <c r="B104" s="515"/>
      <c r="C104" s="515"/>
      <c r="D104" s="510"/>
      <c r="E104" s="510"/>
      <c r="F104" s="432"/>
      <c r="G104" s="433"/>
      <c r="H104" s="433"/>
      <c r="I104" s="444">
        <f t="shared" si="2"/>
        <v>0</v>
      </c>
      <c r="J104" s="434"/>
      <c r="K104" s="446" t="str">
        <f>IF(B104="","",IF(J104=1,Data!$K$2,IF(J104=0,Data!$K$5,Data!$K$3)))</f>
        <v/>
      </c>
      <c r="L104" s="448" t="str">
        <f ca="1">IF(H104="","",IF(B104="","",IF(K104=Data!$K$2,"",IF(H104&lt;TODAY(),"!",""))))</f>
        <v/>
      </c>
    </row>
    <row r="105" spans="2:12" ht="27" customHeight="1">
      <c r="B105" s="515"/>
      <c r="C105" s="515"/>
      <c r="D105" s="510"/>
      <c r="E105" s="510"/>
      <c r="F105" s="432"/>
      <c r="G105" s="433"/>
      <c r="H105" s="433"/>
      <c r="I105" s="444">
        <f t="shared" si="2"/>
        <v>0</v>
      </c>
      <c r="J105" s="434"/>
      <c r="K105" s="446" t="str">
        <f>IF(B105="","",IF(J105=1,Data!$K$2,IF(J105=0,Data!$K$5,Data!$K$3)))</f>
        <v/>
      </c>
      <c r="L105" s="448" t="str">
        <f ca="1">IF(H105="","",IF(B105="","",IF(K105=Data!$K$2,"",IF(H105&lt;TODAY(),"!",""))))</f>
        <v/>
      </c>
    </row>
    <row r="106" spans="2:12" ht="27" customHeight="1">
      <c r="B106" s="515"/>
      <c r="C106" s="515"/>
      <c r="D106" s="510"/>
      <c r="E106" s="510"/>
      <c r="F106" s="432"/>
      <c r="G106" s="433"/>
      <c r="H106" s="433"/>
      <c r="I106" s="444">
        <f t="shared" si="2"/>
        <v>0</v>
      </c>
      <c r="J106" s="434"/>
      <c r="K106" s="446" t="str">
        <f>IF(B106="","",IF(J106=1,Data!$K$2,IF(J106=0,Data!$K$5,Data!$K$3)))</f>
        <v/>
      </c>
      <c r="L106" s="448" t="str">
        <f ca="1">IF(H106="","",IF(B106="","",IF(K106=Data!$K$2,"",IF(H106&lt;TODAY(),"!",""))))</f>
        <v/>
      </c>
    </row>
    <row r="107" spans="2:12" ht="27" customHeight="1">
      <c r="B107" s="515"/>
      <c r="C107" s="515"/>
      <c r="D107" s="510"/>
      <c r="E107" s="510"/>
      <c r="F107" s="432"/>
      <c r="G107" s="433"/>
      <c r="H107" s="433"/>
      <c r="I107" s="444">
        <f t="shared" si="2"/>
        <v>0</v>
      </c>
      <c r="J107" s="434"/>
      <c r="K107" s="446" t="str">
        <f>IF(B107="","",IF(J107=1,Data!$K$2,IF(J107=0,Data!$K$5,Data!$K$3)))</f>
        <v/>
      </c>
      <c r="L107" s="448" t="str">
        <f ca="1">IF(H107="","",IF(B107="","",IF(K107=Data!$K$2,"",IF(H107&lt;TODAY(),"!",""))))</f>
        <v/>
      </c>
    </row>
    <row r="108" spans="2:12" ht="27" customHeight="1">
      <c r="B108" s="515"/>
      <c r="C108" s="515"/>
      <c r="D108" s="510"/>
      <c r="E108" s="510"/>
      <c r="F108" s="432"/>
      <c r="G108" s="433"/>
      <c r="H108" s="433"/>
      <c r="I108" s="444">
        <f t="shared" si="2"/>
        <v>0</v>
      </c>
      <c r="J108" s="434"/>
      <c r="K108" s="446" t="str">
        <f>IF(B108="","",IF(J108=1,Data!$K$2,IF(J108=0,Data!$K$5,Data!$K$3)))</f>
        <v/>
      </c>
      <c r="L108" s="448" t="str">
        <f ca="1">IF(H108="","",IF(B108="","",IF(K108=Data!$K$2,"",IF(H108&lt;TODAY(),"!",""))))</f>
        <v/>
      </c>
    </row>
    <row r="109" spans="2:12" ht="27" customHeight="1">
      <c r="B109" s="515"/>
      <c r="C109" s="515"/>
      <c r="D109" s="510"/>
      <c r="E109" s="510"/>
      <c r="F109" s="432"/>
      <c r="G109" s="433"/>
      <c r="H109" s="433"/>
      <c r="I109" s="444">
        <f t="shared" si="2"/>
        <v>0</v>
      </c>
      <c r="J109" s="434"/>
      <c r="K109" s="446" t="str">
        <f>IF(B109="","",IF(J109=1,Data!$K$2,IF(J109=0,Data!$K$5,Data!$K$3)))</f>
        <v/>
      </c>
      <c r="L109" s="448" t="str">
        <f ca="1">IF(H109="","",IF(B109="","",IF(K109=Data!$K$2,"",IF(H109&lt;TODAY(),"!",""))))</f>
        <v/>
      </c>
    </row>
    <row r="110" spans="2:12" ht="27" customHeight="1">
      <c r="B110" s="515"/>
      <c r="C110" s="515"/>
      <c r="D110" s="510"/>
      <c r="E110" s="510"/>
      <c r="F110" s="432"/>
      <c r="G110" s="433"/>
      <c r="H110" s="433"/>
      <c r="I110" s="444">
        <f t="shared" si="2"/>
        <v>0</v>
      </c>
      <c r="J110" s="434"/>
      <c r="K110" s="446" t="str">
        <f>IF(B110="","",IF(J110=1,Data!$K$2,IF(J110=0,Data!$K$5,Data!$K$3)))</f>
        <v/>
      </c>
      <c r="L110" s="448" t="str">
        <f ca="1">IF(H110="","",IF(B110="","",IF(K110=Data!$K$2,"",IF(H110&lt;TODAY(),"!",""))))</f>
        <v/>
      </c>
    </row>
    <row r="111" spans="2:12" ht="27" customHeight="1">
      <c r="B111" s="515"/>
      <c r="C111" s="515"/>
      <c r="D111" s="510"/>
      <c r="E111" s="510"/>
      <c r="F111" s="435"/>
      <c r="G111" s="436"/>
      <c r="H111" s="436"/>
      <c r="I111" s="445">
        <f t="shared" si="2"/>
        <v>0</v>
      </c>
      <c r="J111" s="437"/>
      <c r="K111" s="446" t="str">
        <f>IF(B111="","",IF(J111=1,Data!$K$2,IF(J111=0,Data!$K$5,Data!$K$3)))</f>
        <v/>
      </c>
      <c r="L111" s="448" t="str">
        <f ca="1">IF(H111="","",IF(B111="","",IF(K111=Data!$K$2,"",IF(H111&lt;TODAY(),"!",""))))</f>
        <v/>
      </c>
    </row>
  </sheetData>
  <sheetProtection formatCells="0" formatColumns="0" formatRows="0" selectLockedCells="1" sort="0" autoFilter="0" pivotTables="0"/>
  <autoFilter ref="B11:L11" xr:uid="{8B6E5D32-48E8-4FA3-8E0C-98F1F8FFB7D2}">
    <filterColumn colId="0" showButton="0"/>
    <filterColumn colId="2" showButton="0"/>
  </autoFilter>
  <mergeCells count="204">
    <mergeCell ref="B13:C13"/>
    <mergeCell ref="D13:E13"/>
    <mergeCell ref="B14:C14"/>
    <mergeCell ref="D14:E14"/>
    <mergeCell ref="B15:C15"/>
    <mergeCell ref="D15:E15"/>
    <mergeCell ref="B11:C11"/>
    <mergeCell ref="D11:E11"/>
    <mergeCell ref="B12:C12"/>
    <mergeCell ref="D12:E12"/>
    <mergeCell ref="B19:C19"/>
    <mergeCell ref="D19:E19"/>
    <mergeCell ref="B20:C20"/>
    <mergeCell ref="D20:E20"/>
    <mergeCell ref="B21:C21"/>
    <mergeCell ref="D21:E21"/>
    <mergeCell ref="B16:C16"/>
    <mergeCell ref="D16:E16"/>
    <mergeCell ref="B17:C17"/>
    <mergeCell ref="D17:E17"/>
    <mergeCell ref="B18:C18"/>
    <mergeCell ref="D18:E18"/>
    <mergeCell ref="B25:C25"/>
    <mergeCell ref="D25:E25"/>
    <mergeCell ref="B26:C26"/>
    <mergeCell ref="D26:E26"/>
    <mergeCell ref="B27:C27"/>
    <mergeCell ref="D27:E27"/>
    <mergeCell ref="B22:C22"/>
    <mergeCell ref="D22:E22"/>
    <mergeCell ref="B23:C23"/>
    <mergeCell ref="D23:E23"/>
    <mergeCell ref="B24:C24"/>
    <mergeCell ref="D24:E24"/>
    <mergeCell ref="B31:C31"/>
    <mergeCell ref="D31:E31"/>
    <mergeCell ref="B32:C32"/>
    <mergeCell ref="D32:E32"/>
    <mergeCell ref="B33:C33"/>
    <mergeCell ref="D33:E33"/>
    <mergeCell ref="B28:C28"/>
    <mergeCell ref="D28:E28"/>
    <mergeCell ref="B29:C29"/>
    <mergeCell ref="D29:E29"/>
    <mergeCell ref="B30:C30"/>
    <mergeCell ref="D30:E30"/>
    <mergeCell ref="B37:C37"/>
    <mergeCell ref="D37:E37"/>
    <mergeCell ref="B38:C38"/>
    <mergeCell ref="D38:E38"/>
    <mergeCell ref="B39:C39"/>
    <mergeCell ref="D39:E39"/>
    <mergeCell ref="B34:C34"/>
    <mergeCell ref="D34:E34"/>
    <mergeCell ref="B35:C35"/>
    <mergeCell ref="D35:E35"/>
    <mergeCell ref="B36:C36"/>
    <mergeCell ref="D36:E36"/>
    <mergeCell ref="B43:C43"/>
    <mergeCell ref="D43:E43"/>
    <mergeCell ref="B44:C44"/>
    <mergeCell ref="D44:E44"/>
    <mergeCell ref="B45:C45"/>
    <mergeCell ref="D45:E45"/>
    <mergeCell ref="B40:C40"/>
    <mergeCell ref="D40:E40"/>
    <mergeCell ref="B41:C41"/>
    <mergeCell ref="D41:E41"/>
    <mergeCell ref="B42:C42"/>
    <mergeCell ref="D42:E42"/>
    <mergeCell ref="B49:C49"/>
    <mergeCell ref="D49:E49"/>
    <mergeCell ref="B50:C50"/>
    <mergeCell ref="D50:E50"/>
    <mergeCell ref="B51:C51"/>
    <mergeCell ref="D51:E51"/>
    <mergeCell ref="B46:C46"/>
    <mergeCell ref="D46:E46"/>
    <mergeCell ref="B47:C47"/>
    <mergeCell ref="D47:E47"/>
    <mergeCell ref="B48:C48"/>
    <mergeCell ref="D48:E48"/>
    <mergeCell ref="B55:C55"/>
    <mergeCell ref="D55:E55"/>
    <mergeCell ref="B56:C56"/>
    <mergeCell ref="D56:E56"/>
    <mergeCell ref="B57:C57"/>
    <mergeCell ref="D57:E57"/>
    <mergeCell ref="B52:C52"/>
    <mergeCell ref="D52:E52"/>
    <mergeCell ref="B53:C53"/>
    <mergeCell ref="D53:E53"/>
    <mergeCell ref="B54:C54"/>
    <mergeCell ref="D54:E54"/>
    <mergeCell ref="B61:C61"/>
    <mergeCell ref="D61:E61"/>
    <mergeCell ref="B62:C62"/>
    <mergeCell ref="D62:E62"/>
    <mergeCell ref="B63:C63"/>
    <mergeCell ref="D63:E63"/>
    <mergeCell ref="B58:C58"/>
    <mergeCell ref="D58:E58"/>
    <mergeCell ref="B59:C59"/>
    <mergeCell ref="D59:E59"/>
    <mergeCell ref="B60:C60"/>
    <mergeCell ref="D60:E60"/>
    <mergeCell ref="B67:C67"/>
    <mergeCell ref="D67:E67"/>
    <mergeCell ref="B68:C68"/>
    <mergeCell ref="D68:E68"/>
    <mergeCell ref="B69:C69"/>
    <mergeCell ref="D69:E69"/>
    <mergeCell ref="B64:C64"/>
    <mergeCell ref="D64:E64"/>
    <mergeCell ref="B65:C65"/>
    <mergeCell ref="D65:E65"/>
    <mergeCell ref="B66:C66"/>
    <mergeCell ref="D66:E66"/>
    <mergeCell ref="B73:C73"/>
    <mergeCell ref="D73:E73"/>
    <mergeCell ref="B74:C74"/>
    <mergeCell ref="D74:E74"/>
    <mergeCell ref="B75:C75"/>
    <mergeCell ref="D75:E75"/>
    <mergeCell ref="B70:C70"/>
    <mergeCell ref="D70:E70"/>
    <mergeCell ref="B71:C71"/>
    <mergeCell ref="D71:E71"/>
    <mergeCell ref="B72:C72"/>
    <mergeCell ref="D72:E72"/>
    <mergeCell ref="B79:C79"/>
    <mergeCell ref="D79:E79"/>
    <mergeCell ref="B80:C80"/>
    <mergeCell ref="D80:E80"/>
    <mergeCell ref="B81:C81"/>
    <mergeCell ref="D81:E81"/>
    <mergeCell ref="B76:C76"/>
    <mergeCell ref="D76:E76"/>
    <mergeCell ref="B77:C77"/>
    <mergeCell ref="D77:E77"/>
    <mergeCell ref="B78:C78"/>
    <mergeCell ref="D78:E78"/>
    <mergeCell ref="B85:C85"/>
    <mergeCell ref="D85:E85"/>
    <mergeCell ref="B86:C86"/>
    <mergeCell ref="D86:E86"/>
    <mergeCell ref="B87:C87"/>
    <mergeCell ref="D87:E87"/>
    <mergeCell ref="B82:C82"/>
    <mergeCell ref="D82:E82"/>
    <mergeCell ref="B83:C83"/>
    <mergeCell ref="D83:E83"/>
    <mergeCell ref="B84:C84"/>
    <mergeCell ref="D84:E84"/>
    <mergeCell ref="B91:C91"/>
    <mergeCell ref="D91:E91"/>
    <mergeCell ref="B92:C92"/>
    <mergeCell ref="D92:E92"/>
    <mergeCell ref="B93:C93"/>
    <mergeCell ref="D93:E93"/>
    <mergeCell ref="B88:C88"/>
    <mergeCell ref="D88:E88"/>
    <mergeCell ref="B89:C89"/>
    <mergeCell ref="D89:E89"/>
    <mergeCell ref="B90:C90"/>
    <mergeCell ref="D90:E90"/>
    <mergeCell ref="B102:C102"/>
    <mergeCell ref="D102:E102"/>
    <mergeCell ref="B97:C97"/>
    <mergeCell ref="D97:E97"/>
    <mergeCell ref="B98:C98"/>
    <mergeCell ref="D98:E98"/>
    <mergeCell ref="B99:C99"/>
    <mergeCell ref="D99:E99"/>
    <mergeCell ref="B94:C94"/>
    <mergeCell ref="D94:E94"/>
    <mergeCell ref="B95:C95"/>
    <mergeCell ref="D95:E95"/>
    <mergeCell ref="B96:C96"/>
    <mergeCell ref="D96:E96"/>
    <mergeCell ref="K7:L7"/>
    <mergeCell ref="K8:L9"/>
    <mergeCell ref="B109:C109"/>
    <mergeCell ref="D109:E109"/>
    <mergeCell ref="B110:C110"/>
    <mergeCell ref="D110:E110"/>
    <mergeCell ref="B111:C111"/>
    <mergeCell ref="D111:E111"/>
    <mergeCell ref="B106:C106"/>
    <mergeCell ref="D106:E106"/>
    <mergeCell ref="B107:C107"/>
    <mergeCell ref="D107:E107"/>
    <mergeCell ref="B108:C108"/>
    <mergeCell ref="D108:E108"/>
    <mergeCell ref="B103:C103"/>
    <mergeCell ref="D103:E103"/>
    <mergeCell ref="B104:C104"/>
    <mergeCell ref="D104:E104"/>
    <mergeCell ref="B105:C105"/>
    <mergeCell ref="D105:E105"/>
    <mergeCell ref="B100:C100"/>
    <mergeCell ref="D100:E100"/>
    <mergeCell ref="B101:C101"/>
    <mergeCell ref="D101:E101"/>
  </mergeCells>
  <phoneticPr fontId="31" type="noConversion"/>
  <conditionalFormatting sqref="B10:G10">
    <cfRule type="expression" dxfId="197" priority="1">
      <formula>B$10=""</formula>
    </cfRule>
  </conditionalFormatting>
  <conditionalFormatting sqref="L12:L111">
    <cfRule type="expression" dxfId="193" priority="4">
      <formula>$L12="!"</formula>
    </cfRule>
  </conditionalFormatting>
  <dataValidations count="2">
    <dataValidation type="list" allowBlank="1" showInputMessage="1" showErrorMessage="1" sqref="D12:E111" xr:uid="{D5816A4A-5DB2-40A3-97C2-E8608AA08B57}">
      <formula1>ActionPlan04</formula1>
    </dataValidation>
    <dataValidation type="list" allowBlank="1" showInputMessage="1" showErrorMessage="1" sqref="F12:F111" xr:uid="{C9A0555B-C8D4-436B-90B0-3E606F5DCFD4}">
      <formula1>DRangeEmployee</formula1>
    </dataValidation>
  </dataValidations>
  <hyperlinks>
    <hyperlink ref="B10" location="'AP1'!A1" display="'AP1'!A1" xr:uid="{C0A0819A-13D8-45F5-ABED-42A7D5DCB04E}"/>
    <hyperlink ref="C10" location="'AP2'!A1" display="'AP2'!A1" xr:uid="{309104A5-B2EC-4E93-9D9B-F7E438DEAC0E}"/>
    <hyperlink ref="D10" location="'AP3'!A1" display="'AP3'!A1" xr:uid="{19C9ECBE-C497-4928-BF70-99B7A08B9619}"/>
    <hyperlink ref="E10" location="'AP4'!A1" display="'AP4'!A1" xr:uid="{1B3D9BC7-D8C0-47FE-A295-EA5CAD8E0DA3}"/>
    <hyperlink ref="F10" location="'AP5'!A1" display="'AP5'!A1" xr:uid="{78209450-E4E2-4E37-80E9-1554E98A6E36}"/>
    <hyperlink ref="G10" location="'AP6'!A1" display="'AP6'!A1" xr:uid="{535922BF-C919-431E-BE72-4A0863A9E4E8}"/>
  </hyperlinks>
  <pageMargins left="0.25" right="0.25" top="0.75" bottom="0.75" header="0.3" footer="0.3"/>
  <pageSetup scale="77"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id="{9D89004D-A981-4044-B9E9-0C616C52C124}">
            <xm:f>$K12=Data!$K$5</xm:f>
            <x14:dxf>
              <font>
                <color theme="1" tint="0.24994659260841701"/>
              </font>
              <fill>
                <patternFill>
                  <bgColor theme="0" tint="-4.9989318521683403E-2"/>
                </patternFill>
              </fill>
            </x14:dxf>
          </x14:cfRule>
          <x14:cfRule type="expression" priority="7" id="{7B52C026-3BC3-4B1E-A040-F9BA3526E3F1}">
            <xm:f>$K12=Data!$K$3</xm:f>
            <x14:dxf>
              <font>
                <color theme="0"/>
              </font>
              <fill>
                <patternFill>
                  <bgColor rgb="FFF2C80F"/>
                </patternFill>
              </fill>
            </x14:dxf>
          </x14:cfRule>
          <x14:cfRule type="expression" priority="8" id="{DF105127-B9E7-4072-9A65-7563B281B265}">
            <xm:f>$K12=Data!$K$2</xm:f>
            <x14:dxf>
              <font>
                <color theme="0"/>
              </font>
              <fill>
                <patternFill>
                  <bgColor rgb="FF55B03E"/>
                </patternFill>
              </fill>
            </x14:dxf>
          </x14:cfRule>
          <xm:sqref>K12:K111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5CC8C-393F-4E14-9565-633F51827A0A}">
  <dimension ref="A1:S111"/>
  <sheetViews>
    <sheetView showGridLines="0" showRowColHeaders="0" zoomScaleNormal="100" workbookViewId="0"/>
  </sheetViews>
  <sheetFormatPr baseColWidth="10" defaultColWidth="8.83203125" defaultRowHeight="15"/>
  <cols>
    <col min="1" max="1" width="2.6640625" style="290" customWidth="1"/>
    <col min="2" max="5" width="25.6640625" style="273" customWidth="1"/>
    <col min="6" max="6" width="30.6640625" style="273" customWidth="1"/>
    <col min="7" max="8" width="20.6640625" style="369" customWidth="1"/>
    <col min="9" max="9" width="16.6640625" style="369" hidden="1" customWidth="1"/>
    <col min="10" max="10" width="16.6640625" style="369" customWidth="1"/>
    <col min="11" max="11" width="14.6640625" style="369" customWidth="1"/>
    <col min="12" max="12" width="12.6640625" style="273" customWidth="1"/>
    <col min="13" max="16384" width="8.83203125" style="273"/>
  </cols>
  <sheetData>
    <row r="1" spans="1:19" s="249" customFormat="1" ht="39" customHeight="1">
      <c r="A1" s="248"/>
      <c r="B1" s="248"/>
      <c r="C1" s="248"/>
      <c r="D1" s="248"/>
      <c r="E1" s="248"/>
      <c r="F1" s="248"/>
      <c r="G1" s="248"/>
      <c r="H1" s="248"/>
      <c r="I1" s="248"/>
      <c r="J1" s="248"/>
      <c r="K1" s="248"/>
      <c r="L1" s="248"/>
      <c r="M1" s="248"/>
      <c r="N1" s="248"/>
      <c r="O1" s="248"/>
      <c r="P1" s="248"/>
      <c r="Q1" s="248"/>
      <c r="R1" s="248"/>
      <c r="S1" s="248"/>
    </row>
    <row r="2" spans="1:19" s="308" customFormat="1" ht="25" customHeight="1"/>
    <row r="3" spans="1:19" s="287" customFormat="1" ht="18" customHeight="1"/>
    <row r="4" spans="1:19" s="287" customFormat="1" ht="18" customHeight="1"/>
    <row r="5" spans="1:19" s="287" customFormat="1" ht="20" customHeight="1"/>
    <row r="6" spans="1:19" s="281" customFormat="1" ht="20" customHeight="1">
      <c r="A6" s="355"/>
      <c r="G6" s="278"/>
      <c r="H6" s="278"/>
      <c r="I6" s="278"/>
      <c r="J6" s="278"/>
      <c r="K6" s="278"/>
    </row>
    <row r="7" spans="1:19" s="281" customFormat="1" ht="20" customHeight="1">
      <c r="A7" s="355"/>
      <c r="B7" s="303" t="str">
        <f>Lan!F62&amp;" - "&amp;Goals!C16</f>
        <v>2.5. Plan de acción - Incrementar las ventas a través de plataformas digitales.</v>
      </c>
      <c r="C7" s="359"/>
      <c r="D7" s="359"/>
      <c r="E7" s="359"/>
      <c r="F7" s="359"/>
      <c r="G7" s="359"/>
      <c r="H7" s="370"/>
      <c r="I7" s="370"/>
      <c r="J7" s="370"/>
      <c r="K7" s="509" t="str">
        <f>Lan!F69</f>
        <v>% Progreso</v>
      </c>
      <c r="L7" s="509"/>
    </row>
    <row r="8" spans="1:19" s="281" customFormat="1" ht="20" customHeight="1">
      <c r="A8" s="355"/>
      <c r="B8" s="320" t="str">
        <f>Lan!F44</f>
        <v>Los objetivos proporcionan hitos específicos con un cronograma específico para lograr una meta.</v>
      </c>
      <c r="C8" s="362"/>
      <c r="D8" s="362"/>
      <c r="E8" s="362"/>
      <c r="F8" s="371"/>
      <c r="G8" s="370"/>
      <c r="H8" s="370"/>
      <c r="I8" s="372"/>
      <c r="J8" s="370"/>
      <c r="K8" s="507">
        <f>IFERROR(AVERAGE(J12:J111),0)</f>
        <v>1</v>
      </c>
      <c r="L8" s="508"/>
    </row>
    <row r="9" spans="1:19" s="281" customFormat="1" ht="20" customHeight="1" thickBot="1">
      <c r="A9" s="355"/>
      <c r="B9" s="371"/>
      <c r="C9" s="371"/>
      <c r="D9" s="371"/>
      <c r="E9" s="371"/>
      <c r="F9" s="371"/>
      <c r="G9" s="370"/>
      <c r="H9" s="370"/>
      <c r="I9" s="370"/>
      <c r="J9" s="370"/>
      <c r="K9" s="508"/>
      <c r="L9" s="508"/>
    </row>
    <row r="10" spans="1:19" s="281" customFormat="1" ht="20" customHeight="1" thickTop="1" thickBot="1">
      <c r="A10" s="355"/>
      <c r="B10" s="419" t="str">
        <f>IF(Goals!C12="","",Goals!B12)</f>
        <v>Meta 1</v>
      </c>
      <c r="C10" s="419" t="str">
        <f>IF(Goals!C13="","",Goals!B13)</f>
        <v>Meta 2</v>
      </c>
      <c r="D10" s="419" t="str">
        <f>IF(Goals!C14="","",Goals!B14)</f>
        <v>Meta 3</v>
      </c>
      <c r="E10" s="419" t="str">
        <f>IF(Goals!C15="","",Goals!B15)</f>
        <v>Meta 4</v>
      </c>
      <c r="F10" s="420" t="str">
        <f>IF(Goals!C16="","",Goals!B16)</f>
        <v>Meta 5</v>
      </c>
      <c r="G10" s="419" t="str">
        <f>IF(Goals!C17="","",Goals!B17)</f>
        <v>Meta 6</v>
      </c>
      <c r="H10" s="53"/>
      <c r="I10" s="53"/>
      <c r="J10" s="370"/>
      <c r="K10" s="370"/>
      <c r="L10" s="371"/>
    </row>
    <row r="11" spans="1:19" s="281" customFormat="1" ht="30" customHeight="1" thickTop="1" thickBot="1">
      <c r="A11" s="355"/>
      <c r="B11" s="513" t="str">
        <f>Lan!$F$63</f>
        <v>Paso de acción</v>
      </c>
      <c r="C11" s="513"/>
      <c r="D11" s="513" t="str">
        <f>Lan!$F$64</f>
        <v>Objetivo asociado</v>
      </c>
      <c r="E11" s="513"/>
      <c r="F11" s="283" t="str">
        <f>Lan!$F$65</f>
        <v>Gerentes</v>
      </c>
      <c r="G11" s="283" t="str">
        <f>Lan!$F$67</f>
        <v>Fecha de inicio</v>
      </c>
      <c r="H11" s="376" t="str">
        <f>Lan!$F$68</f>
        <v>Fecha de vencimiento</v>
      </c>
      <c r="I11" s="377" t="str">
        <f>Lan!F75</f>
        <v>Hora de completar una tarea</v>
      </c>
      <c r="J11" s="376" t="str">
        <f>Lan!$F$69</f>
        <v>% Progreso</v>
      </c>
      <c r="K11" s="376" t="str">
        <f>Lan!$F$70</f>
        <v>Status</v>
      </c>
      <c r="L11" s="376" t="str">
        <f>Data!K4</f>
        <v>Atrasado</v>
      </c>
    </row>
    <row r="12" spans="1:19" s="281" customFormat="1" ht="27" customHeight="1">
      <c r="A12" s="355"/>
      <c r="B12" s="510" t="s">
        <v>308</v>
      </c>
      <c r="C12" s="510"/>
      <c r="D12" s="510" t="s">
        <v>320</v>
      </c>
      <c r="E12" s="510"/>
      <c r="F12" s="218" t="s">
        <v>306</v>
      </c>
      <c r="G12" s="426">
        <v>44241</v>
      </c>
      <c r="H12" s="426">
        <v>44245</v>
      </c>
      <c r="I12" s="443">
        <f>IFERROR(H12-G12,0)</f>
        <v>4</v>
      </c>
      <c r="J12" s="428"/>
      <c r="K12" s="446" t="str">
        <f>IF(B12="","",IF(J12=1,Data!$K$2,IF(J12=0,Data!$K$5,Data!$K$3)))</f>
        <v>No iniciado</v>
      </c>
      <c r="L12" s="447" t="str">
        <f ca="1">IF(H12="","",IF(B12="","",IF(K12=Data!$K$2,"",IF(H12&lt;TODAY(),"!",""))))</f>
        <v>!</v>
      </c>
    </row>
    <row r="13" spans="1:19" s="281" customFormat="1" ht="27" customHeight="1">
      <c r="A13" s="355"/>
      <c r="B13" s="510" t="s">
        <v>309</v>
      </c>
      <c r="C13" s="510"/>
      <c r="D13" s="510" t="s">
        <v>317</v>
      </c>
      <c r="E13" s="510"/>
      <c r="F13" s="218" t="s">
        <v>307</v>
      </c>
      <c r="G13" s="426">
        <v>44242</v>
      </c>
      <c r="H13" s="426">
        <v>44246</v>
      </c>
      <c r="I13" s="443">
        <f t="shared" ref="I13:I18" si="0">IFERROR(H13-G13,0)</f>
        <v>4</v>
      </c>
      <c r="J13" s="429">
        <v>1</v>
      </c>
      <c r="K13" s="446" t="str">
        <f>IF(B13="","",IF(J13=1,Data!$K$2,IF(J13=0,Data!$K$5,Data!$K$3)))</f>
        <v>Concluido</v>
      </c>
      <c r="L13" s="448" t="str">
        <f ca="1">IF(H13="","",IF(B13="","",IF(K13=Data!$K$2,"",IF(H13&lt;TODAY(),"!",""))))</f>
        <v/>
      </c>
    </row>
    <row r="14" spans="1:19" s="281" customFormat="1" ht="27" customHeight="1">
      <c r="A14" s="355"/>
      <c r="B14" s="510"/>
      <c r="C14" s="510"/>
      <c r="D14" s="510"/>
      <c r="E14" s="510"/>
      <c r="F14" s="218"/>
      <c r="G14" s="426"/>
      <c r="H14" s="426"/>
      <c r="I14" s="443">
        <f t="shared" si="0"/>
        <v>0</v>
      </c>
      <c r="J14" s="429"/>
      <c r="K14" s="446" t="str">
        <f>IF(B14="","",IF(J14=1,Data!$K$2,IF(J14=0,Data!$K$5,Data!$K$3)))</f>
        <v/>
      </c>
      <c r="L14" s="448" t="str">
        <f ca="1">IF(H14="","",IF(B14="","",IF(K14=Data!$K$2,"",IF(H14&lt;TODAY(),"!",""))))</f>
        <v/>
      </c>
    </row>
    <row r="15" spans="1:19" s="281" customFormat="1" ht="27" customHeight="1">
      <c r="A15" s="355"/>
      <c r="B15" s="510"/>
      <c r="C15" s="510"/>
      <c r="D15" s="510"/>
      <c r="E15" s="510"/>
      <c r="F15" s="218"/>
      <c r="G15" s="426"/>
      <c r="H15" s="426"/>
      <c r="I15" s="443">
        <f>IFERROR(H15-G15,0)</f>
        <v>0</v>
      </c>
      <c r="J15" s="429"/>
      <c r="K15" s="446" t="str">
        <f>IF(B15="","",IF(J15=1,Data!$K$2,IF(J15=0,Data!$K$5,Data!$K$3)))</f>
        <v/>
      </c>
      <c r="L15" s="448" t="str">
        <f ca="1">IF(H15="","",IF(B15="","",IF(K15=Data!$K$2,"",IF(H15&lt;TODAY(),"!",""))))</f>
        <v/>
      </c>
    </row>
    <row r="16" spans="1:19" s="281" customFormat="1" ht="27" customHeight="1">
      <c r="A16" s="355"/>
      <c r="B16" s="510"/>
      <c r="C16" s="510"/>
      <c r="D16" s="510"/>
      <c r="E16" s="510"/>
      <c r="F16" s="218"/>
      <c r="G16" s="426"/>
      <c r="H16" s="426"/>
      <c r="I16" s="443">
        <f t="shared" si="0"/>
        <v>0</v>
      </c>
      <c r="J16" s="429"/>
      <c r="K16" s="446" t="str">
        <f>IF(B16="","",IF(J16=1,Data!$K$2,IF(J16=0,Data!$K$5,Data!$K$3)))</f>
        <v/>
      </c>
      <c r="L16" s="448" t="str">
        <f ca="1">IF(H16="","",IF(B16="","",IF(K16=Data!$K$2,"",IF(H16&lt;TODAY(),"!",""))))</f>
        <v/>
      </c>
    </row>
    <row r="17" spans="1:12" s="281" customFormat="1" ht="27" customHeight="1">
      <c r="A17" s="355"/>
      <c r="B17" s="510"/>
      <c r="C17" s="510"/>
      <c r="D17" s="510"/>
      <c r="E17" s="510"/>
      <c r="F17" s="218"/>
      <c r="G17" s="426"/>
      <c r="H17" s="426"/>
      <c r="I17" s="443">
        <f t="shared" si="0"/>
        <v>0</v>
      </c>
      <c r="J17" s="429"/>
      <c r="K17" s="446" t="str">
        <f>IF(B17="","",IF(J17=1,Data!$K$2,IF(J17=0,Data!$K$5,Data!$K$3)))</f>
        <v/>
      </c>
      <c r="L17" s="448" t="str">
        <f ca="1">IF(H17="","",IF(B17="","",IF(K17=Data!$K$2,"",IF(H17&lt;TODAY(),"!",""))))</f>
        <v/>
      </c>
    </row>
    <row r="18" spans="1:12" s="281" customFormat="1" ht="27" customHeight="1">
      <c r="A18" s="355"/>
      <c r="B18" s="510"/>
      <c r="C18" s="510"/>
      <c r="D18" s="510"/>
      <c r="E18" s="510"/>
      <c r="F18" s="218"/>
      <c r="G18" s="426"/>
      <c r="H18" s="426"/>
      <c r="I18" s="443">
        <f t="shared" si="0"/>
        <v>0</v>
      </c>
      <c r="J18" s="429"/>
      <c r="K18" s="446" t="str">
        <f>IF(B18="","",IF(J18=1,Data!$K$2,IF(J18=0,Data!$K$5,Data!$K$3)))</f>
        <v/>
      </c>
      <c r="L18" s="448" t="str">
        <f ca="1">IF(H18="","",IF(B18="","",IF(K18=Data!$K$2,"",IF(H18&lt;TODAY(),"!",""))))</f>
        <v/>
      </c>
    </row>
    <row r="19" spans="1:12" s="281" customFormat="1" ht="27" customHeight="1">
      <c r="A19" s="355"/>
      <c r="B19" s="510"/>
      <c r="C19" s="510"/>
      <c r="D19" s="510"/>
      <c r="E19" s="510"/>
      <c r="F19" s="219"/>
      <c r="G19" s="426"/>
      <c r="H19" s="426"/>
      <c r="I19" s="443">
        <f t="shared" ref="I19" si="1">IFERROR(H19-G19,0)</f>
        <v>0</v>
      </c>
      <c r="J19" s="429"/>
      <c r="K19" s="446" t="str">
        <f>IF(B19="","",IF(J19=1,Data!$K$2,IF(J19=0,Data!$K$5,Data!$K$3)))</f>
        <v/>
      </c>
      <c r="L19" s="448" t="str">
        <f ca="1">IF(H19="","",IF(B19="","",IF(K19=Data!$K$2,"",IF(H19&lt;TODAY(),"!",""))))</f>
        <v/>
      </c>
    </row>
    <row r="20" spans="1:12" s="281" customFormat="1" ht="27" customHeight="1">
      <c r="A20" s="355"/>
      <c r="B20" s="515"/>
      <c r="C20" s="515"/>
      <c r="D20" s="510"/>
      <c r="E20" s="510"/>
      <c r="F20" s="430"/>
      <c r="G20" s="427"/>
      <c r="H20" s="427"/>
      <c r="I20" s="443">
        <f t="shared" ref="I20:I76" si="2">IFERROR(H20-G20,0)</f>
        <v>0</v>
      </c>
      <c r="J20" s="429"/>
      <c r="K20" s="446" t="str">
        <f>IF(B20="","",IF(J20=1,Data!$K$2,IF(J20=0,Data!$K$5,Data!$K$3)))</f>
        <v/>
      </c>
      <c r="L20" s="448" t="str">
        <f ca="1">IF(H20="","",IF(B20="","",IF(K20=Data!$K$2,"",IF(H20&lt;TODAY(),"!",""))))</f>
        <v/>
      </c>
    </row>
    <row r="21" spans="1:12" s="281" customFormat="1" ht="27" customHeight="1">
      <c r="A21" s="355"/>
      <c r="B21" s="515"/>
      <c r="C21" s="515"/>
      <c r="D21" s="510"/>
      <c r="E21" s="510"/>
      <c r="F21" s="430"/>
      <c r="G21" s="427"/>
      <c r="H21" s="427"/>
      <c r="I21" s="443">
        <f t="shared" si="2"/>
        <v>0</v>
      </c>
      <c r="J21" s="429"/>
      <c r="K21" s="446" t="str">
        <f>IF(B21="","",IF(J21=1,Data!$K$2,IF(J21=0,Data!$K$5,Data!$K$3)))</f>
        <v/>
      </c>
      <c r="L21" s="448" t="str">
        <f ca="1">IF(H21="","",IF(B21="","",IF(K21=Data!$K$2,"",IF(H21&lt;TODAY(),"!",""))))</f>
        <v/>
      </c>
    </row>
    <row r="22" spans="1:12" s="281" customFormat="1" ht="27" customHeight="1">
      <c r="A22" s="355"/>
      <c r="B22" s="515"/>
      <c r="C22" s="515"/>
      <c r="D22" s="510"/>
      <c r="E22" s="510"/>
      <c r="F22" s="430"/>
      <c r="G22" s="427"/>
      <c r="H22" s="427"/>
      <c r="I22" s="443">
        <f t="shared" si="2"/>
        <v>0</v>
      </c>
      <c r="J22" s="429"/>
      <c r="K22" s="446" t="str">
        <f>IF(B22="","",IF(J22=1,Data!$K$2,IF(J22=0,Data!$K$5,Data!$K$3)))</f>
        <v/>
      </c>
      <c r="L22" s="448" t="str">
        <f ca="1">IF(H22="","",IF(B22="","",IF(K22=Data!$K$2,"",IF(H22&lt;TODAY(),"!",""))))</f>
        <v/>
      </c>
    </row>
    <row r="23" spans="1:12" s="281" customFormat="1" ht="27" customHeight="1">
      <c r="A23" s="355"/>
      <c r="B23" s="515"/>
      <c r="C23" s="515"/>
      <c r="D23" s="510"/>
      <c r="E23" s="510"/>
      <c r="F23" s="430"/>
      <c r="G23" s="427"/>
      <c r="H23" s="427"/>
      <c r="I23" s="443">
        <f t="shared" si="2"/>
        <v>0</v>
      </c>
      <c r="J23" s="429"/>
      <c r="K23" s="446" t="str">
        <f>IF(B23="","",IF(J23=1,Data!$K$2,IF(J23=0,Data!$K$5,Data!$K$3)))</f>
        <v/>
      </c>
      <c r="L23" s="448" t="str">
        <f ca="1">IF(H23="","",IF(B23="","",IF(K23=Data!$K$2,"",IF(H23&lt;TODAY(),"!",""))))</f>
        <v/>
      </c>
    </row>
    <row r="24" spans="1:12" s="281" customFormat="1" ht="27" customHeight="1">
      <c r="A24" s="355"/>
      <c r="B24" s="515"/>
      <c r="C24" s="515"/>
      <c r="D24" s="510"/>
      <c r="E24" s="510"/>
      <c r="F24" s="430"/>
      <c r="G24" s="427"/>
      <c r="H24" s="427"/>
      <c r="I24" s="443">
        <f t="shared" si="2"/>
        <v>0</v>
      </c>
      <c r="J24" s="429"/>
      <c r="K24" s="446" t="str">
        <f>IF(B24="","",IF(J24=1,Data!$K$2,IF(J24=0,Data!$K$5,Data!$K$3)))</f>
        <v/>
      </c>
      <c r="L24" s="448" t="str">
        <f ca="1">IF(H24="","",IF(B24="","",IF(K24=Data!$K$2,"",IF(H24&lt;TODAY(),"!",""))))</f>
        <v/>
      </c>
    </row>
    <row r="25" spans="1:12" s="281" customFormat="1" ht="27" customHeight="1">
      <c r="A25" s="355"/>
      <c r="B25" s="515"/>
      <c r="C25" s="515"/>
      <c r="D25" s="510"/>
      <c r="E25" s="510"/>
      <c r="F25" s="430"/>
      <c r="G25" s="427"/>
      <c r="H25" s="427"/>
      <c r="I25" s="443">
        <f t="shared" si="2"/>
        <v>0</v>
      </c>
      <c r="J25" s="429"/>
      <c r="K25" s="446" t="str">
        <f>IF(B25="","",IF(J25=1,Data!$K$2,IF(J25=0,Data!$K$5,Data!$K$3)))</f>
        <v/>
      </c>
      <c r="L25" s="448" t="str">
        <f ca="1">IF(H25="","",IF(B25="","",IF(K25=Data!$K$2,"",IF(H25&lt;TODAY(),"!",""))))</f>
        <v/>
      </c>
    </row>
    <row r="26" spans="1:12" s="281" customFormat="1" ht="27" customHeight="1">
      <c r="A26" s="355"/>
      <c r="B26" s="515"/>
      <c r="C26" s="515"/>
      <c r="D26" s="510"/>
      <c r="E26" s="510"/>
      <c r="F26" s="430"/>
      <c r="G26" s="427"/>
      <c r="H26" s="427"/>
      <c r="I26" s="443">
        <f t="shared" si="2"/>
        <v>0</v>
      </c>
      <c r="J26" s="429"/>
      <c r="K26" s="446" t="str">
        <f>IF(B26="","",IF(J26=1,Data!$K$2,IF(J26=0,Data!$K$5,Data!$K$3)))</f>
        <v/>
      </c>
      <c r="L26" s="448" t="str">
        <f ca="1">IF(H26="","",IF(B26="","",IF(K26=Data!$K$2,"",IF(H26&lt;TODAY(),"!",""))))</f>
        <v/>
      </c>
    </row>
    <row r="27" spans="1:12" s="281" customFormat="1" ht="27" customHeight="1">
      <c r="A27" s="355"/>
      <c r="B27" s="515"/>
      <c r="C27" s="515"/>
      <c r="D27" s="510"/>
      <c r="E27" s="510"/>
      <c r="F27" s="430"/>
      <c r="G27" s="427"/>
      <c r="H27" s="427"/>
      <c r="I27" s="443">
        <f t="shared" si="2"/>
        <v>0</v>
      </c>
      <c r="J27" s="429"/>
      <c r="K27" s="446" t="str">
        <f>IF(B27="","",IF(J27=1,Data!$K$2,IF(J27=0,Data!$K$5,Data!$K$3)))</f>
        <v/>
      </c>
      <c r="L27" s="448" t="str">
        <f ca="1">IF(H27="","",IF(B27="","",IF(K27=Data!$K$2,"",IF(H27&lt;TODAY(),"!",""))))</f>
        <v/>
      </c>
    </row>
    <row r="28" spans="1:12" s="281" customFormat="1" ht="27" customHeight="1">
      <c r="A28" s="355"/>
      <c r="B28" s="515"/>
      <c r="C28" s="515"/>
      <c r="D28" s="510"/>
      <c r="E28" s="510"/>
      <c r="F28" s="430"/>
      <c r="G28" s="427"/>
      <c r="H28" s="427"/>
      <c r="I28" s="443">
        <f t="shared" si="2"/>
        <v>0</v>
      </c>
      <c r="J28" s="429"/>
      <c r="K28" s="446" t="str">
        <f>IF(B28="","",IF(J28=1,Data!$K$2,IF(J28=0,Data!$K$5,Data!$K$3)))</f>
        <v/>
      </c>
      <c r="L28" s="448" t="str">
        <f ca="1">IF(H28="","",IF(B28="","",IF(K28=Data!$K$2,"",IF(H28&lt;TODAY(),"!",""))))</f>
        <v/>
      </c>
    </row>
    <row r="29" spans="1:12" s="281" customFormat="1" ht="27" customHeight="1">
      <c r="A29" s="355"/>
      <c r="B29" s="515"/>
      <c r="C29" s="515"/>
      <c r="D29" s="510"/>
      <c r="E29" s="510"/>
      <c r="F29" s="430"/>
      <c r="G29" s="427"/>
      <c r="H29" s="427"/>
      <c r="I29" s="443">
        <f t="shared" si="2"/>
        <v>0</v>
      </c>
      <c r="J29" s="429"/>
      <c r="K29" s="446" t="str">
        <f>IF(B29="","",IF(J29=1,Data!$K$2,IF(J29=0,Data!$K$5,Data!$K$3)))</f>
        <v/>
      </c>
      <c r="L29" s="448" t="str">
        <f ca="1">IF(H29="","",IF(B29="","",IF(K29=Data!$K$2,"",IF(H29&lt;TODAY(),"!",""))))</f>
        <v/>
      </c>
    </row>
    <row r="30" spans="1:12" s="281" customFormat="1" ht="27" customHeight="1">
      <c r="A30" s="355"/>
      <c r="B30" s="515"/>
      <c r="C30" s="515"/>
      <c r="D30" s="510"/>
      <c r="E30" s="510"/>
      <c r="F30" s="430"/>
      <c r="G30" s="427"/>
      <c r="H30" s="427"/>
      <c r="I30" s="443">
        <f t="shared" si="2"/>
        <v>0</v>
      </c>
      <c r="J30" s="429"/>
      <c r="K30" s="446" t="str">
        <f>IF(B30="","",IF(J30=1,Data!$K$2,IF(J30=0,Data!$K$5,Data!$K$3)))</f>
        <v/>
      </c>
      <c r="L30" s="448" t="str">
        <f ca="1">IF(H30="","",IF(B30="","",IF(K30=Data!$K$2,"",IF(H30&lt;TODAY(),"!",""))))</f>
        <v/>
      </c>
    </row>
    <row r="31" spans="1:12" s="281" customFormat="1" ht="27" customHeight="1">
      <c r="A31" s="355"/>
      <c r="B31" s="515"/>
      <c r="C31" s="515"/>
      <c r="D31" s="510"/>
      <c r="E31" s="510"/>
      <c r="F31" s="430"/>
      <c r="G31" s="427"/>
      <c r="H31" s="427"/>
      <c r="I31" s="443">
        <f t="shared" si="2"/>
        <v>0</v>
      </c>
      <c r="J31" s="429"/>
      <c r="K31" s="446" t="str">
        <f>IF(B31="","",IF(J31=1,Data!$K$2,IF(J31=0,Data!$K$5,Data!$K$3)))</f>
        <v/>
      </c>
      <c r="L31" s="448" t="str">
        <f ca="1">IF(H31="","",IF(B31="","",IF(K31=Data!$K$2,"",IF(H31&lt;TODAY(),"!",""))))</f>
        <v/>
      </c>
    </row>
    <row r="32" spans="1:12" s="281" customFormat="1" ht="27" customHeight="1">
      <c r="A32" s="355"/>
      <c r="B32" s="515"/>
      <c r="C32" s="515"/>
      <c r="D32" s="510"/>
      <c r="E32" s="510"/>
      <c r="F32" s="430"/>
      <c r="G32" s="427"/>
      <c r="H32" s="427"/>
      <c r="I32" s="443">
        <f t="shared" si="2"/>
        <v>0</v>
      </c>
      <c r="J32" s="429"/>
      <c r="K32" s="446" t="str">
        <f>IF(B32="","",IF(J32=1,Data!$K$2,IF(J32=0,Data!$K$5,Data!$K$3)))</f>
        <v/>
      </c>
      <c r="L32" s="448" t="str">
        <f ca="1">IF(H32="","",IF(B32="","",IF(K32=Data!$K$2,"",IF(H32&lt;TODAY(),"!",""))))</f>
        <v/>
      </c>
    </row>
    <row r="33" spans="1:12" s="281" customFormat="1" ht="27" customHeight="1">
      <c r="A33" s="355"/>
      <c r="B33" s="515"/>
      <c r="C33" s="515"/>
      <c r="D33" s="510"/>
      <c r="E33" s="510"/>
      <c r="F33" s="430"/>
      <c r="G33" s="427"/>
      <c r="H33" s="427"/>
      <c r="I33" s="443">
        <f t="shared" si="2"/>
        <v>0</v>
      </c>
      <c r="J33" s="429"/>
      <c r="K33" s="446" t="str">
        <f>IF(B33="","",IF(J33=1,Data!$K$2,IF(J33=0,Data!$K$5,Data!$K$3)))</f>
        <v/>
      </c>
      <c r="L33" s="448" t="str">
        <f ca="1">IF(H33="","",IF(B33="","",IF(K33=Data!$K$2,"",IF(H33&lt;TODAY(),"!",""))))</f>
        <v/>
      </c>
    </row>
    <row r="34" spans="1:12" s="281" customFormat="1" ht="27" customHeight="1">
      <c r="A34" s="355"/>
      <c r="B34" s="515"/>
      <c r="C34" s="515"/>
      <c r="D34" s="510"/>
      <c r="E34" s="510"/>
      <c r="F34" s="430"/>
      <c r="G34" s="427"/>
      <c r="H34" s="427"/>
      <c r="I34" s="443">
        <f t="shared" si="2"/>
        <v>0</v>
      </c>
      <c r="J34" s="429"/>
      <c r="K34" s="446" t="str">
        <f>IF(B34="","",IF(J34=1,Data!$K$2,IF(J34=0,Data!$K$5,Data!$K$3)))</f>
        <v/>
      </c>
      <c r="L34" s="448" t="str">
        <f ca="1">IF(H34="","",IF(B34="","",IF(K34=Data!$K$2,"",IF(H34&lt;TODAY(),"!",""))))</f>
        <v/>
      </c>
    </row>
    <row r="35" spans="1:12" s="281" customFormat="1" ht="27" customHeight="1">
      <c r="A35" s="355"/>
      <c r="B35" s="515"/>
      <c r="C35" s="515"/>
      <c r="D35" s="510"/>
      <c r="E35" s="510"/>
      <c r="F35" s="430"/>
      <c r="G35" s="427"/>
      <c r="H35" s="427"/>
      <c r="I35" s="443">
        <f t="shared" si="2"/>
        <v>0</v>
      </c>
      <c r="J35" s="429"/>
      <c r="K35" s="446" t="str">
        <f>IF(B35="","",IF(J35=1,Data!$K$2,IF(J35=0,Data!$K$5,Data!$K$3)))</f>
        <v/>
      </c>
      <c r="L35" s="448" t="str">
        <f ca="1">IF(H35="","",IF(B35="","",IF(K35=Data!$K$2,"",IF(H35&lt;TODAY(),"!",""))))</f>
        <v/>
      </c>
    </row>
    <row r="36" spans="1:12" s="281" customFormat="1" ht="27" customHeight="1">
      <c r="A36" s="355"/>
      <c r="B36" s="515"/>
      <c r="C36" s="515"/>
      <c r="D36" s="510"/>
      <c r="E36" s="510"/>
      <c r="F36" s="430"/>
      <c r="G36" s="427"/>
      <c r="H36" s="427"/>
      <c r="I36" s="443">
        <f t="shared" si="2"/>
        <v>0</v>
      </c>
      <c r="J36" s="429"/>
      <c r="K36" s="446" t="str">
        <f>IF(B36="","",IF(J36=1,Data!$K$2,IF(J36=0,Data!$K$5,Data!$K$3)))</f>
        <v/>
      </c>
      <c r="L36" s="448" t="str">
        <f ca="1">IF(H36="","",IF(B36="","",IF(K36=Data!$K$2,"",IF(H36&lt;TODAY(),"!",""))))</f>
        <v/>
      </c>
    </row>
    <row r="37" spans="1:12" s="281" customFormat="1" ht="27" customHeight="1">
      <c r="A37" s="355"/>
      <c r="B37" s="515"/>
      <c r="C37" s="515"/>
      <c r="D37" s="510"/>
      <c r="E37" s="510"/>
      <c r="F37" s="430"/>
      <c r="G37" s="427"/>
      <c r="H37" s="427"/>
      <c r="I37" s="443">
        <f t="shared" si="2"/>
        <v>0</v>
      </c>
      <c r="J37" s="429"/>
      <c r="K37" s="446" t="str">
        <f>IF(B37="","",IF(J37=1,Data!$K$2,IF(J37=0,Data!$K$5,Data!$K$3)))</f>
        <v/>
      </c>
      <c r="L37" s="448" t="str">
        <f ca="1">IF(H37="","",IF(B37="","",IF(K37=Data!$K$2,"",IF(H37&lt;TODAY(),"!",""))))</f>
        <v/>
      </c>
    </row>
    <row r="38" spans="1:12" s="281" customFormat="1" ht="27" customHeight="1">
      <c r="A38" s="355"/>
      <c r="B38" s="515"/>
      <c r="C38" s="515"/>
      <c r="D38" s="510"/>
      <c r="E38" s="510"/>
      <c r="F38" s="430"/>
      <c r="G38" s="427"/>
      <c r="H38" s="427"/>
      <c r="I38" s="443">
        <f t="shared" si="2"/>
        <v>0</v>
      </c>
      <c r="J38" s="429"/>
      <c r="K38" s="446" t="str">
        <f>IF(B38="","",IF(J38=1,Data!$K$2,IF(J38=0,Data!$K$5,Data!$K$3)))</f>
        <v/>
      </c>
      <c r="L38" s="448" t="str">
        <f ca="1">IF(H38="","",IF(B38="","",IF(K38=Data!$K$2,"",IF(H38&lt;TODAY(),"!",""))))</f>
        <v/>
      </c>
    </row>
    <row r="39" spans="1:12" s="281" customFormat="1" ht="27" customHeight="1">
      <c r="A39" s="355"/>
      <c r="B39" s="515"/>
      <c r="C39" s="515"/>
      <c r="D39" s="510"/>
      <c r="E39" s="510"/>
      <c r="F39" s="430"/>
      <c r="G39" s="427"/>
      <c r="H39" s="427"/>
      <c r="I39" s="443">
        <f t="shared" si="2"/>
        <v>0</v>
      </c>
      <c r="J39" s="429"/>
      <c r="K39" s="446" t="str">
        <f>IF(B39="","",IF(J39=1,Data!$K$2,IF(J39=0,Data!$K$5,Data!$K$3)))</f>
        <v/>
      </c>
      <c r="L39" s="448" t="str">
        <f ca="1">IF(H39="","",IF(B39="","",IF(K39=Data!$K$2,"",IF(H39&lt;TODAY(),"!",""))))</f>
        <v/>
      </c>
    </row>
    <row r="40" spans="1:12" s="281" customFormat="1" ht="27" customHeight="1">
      <c r="A40" s="355"/>
      <c r="B40" s="515"/>
      <c r="C40" s="515"/>
      <c r="D40" s="510"/>
      <c r="E40" s="510"/>
      <c r="F40" s="430"/>
      <c r="G40" s="427"/>
      <c r="H40" s="427"/>
      <c r="I40" s="443">
        <f t="shared" si="2"/>
        <v>0</v>
      </c>
      <c r="J40" s="429"/>
      <c r="K40" s="446" t="str">
        <f>IF(B40="","",IF(J40=1,Data!$K$2,IF(J40=0,Data!$K$5,Data!$K$3)))</f>
        <v/>
      </c>
      <c r="L40" s="448" t="str">
        <f ca="1">IF(H40="","",IF(B40="","",IF(K40=Data!$K$2,"",IF(H40&lt;TODAY(),"!",""))))</f>
        <v/>
      </c>
    </row>
    <row r="41" spans="1:12" s="281" customFormat="1" ht="27" customHeight="1">
      <c r="A41" s="355"/>
      <c r="B41" s="515"/>
      <c r="C41" s="515"/>
      <c r="D41" s="510"/>
      <c r="E41" s="510"/>
      <c r="F41" s="430"/>
      <c r="G41" s="427"/>
      <c r="H41" s="427"/>
      <c r="I41" s="443">
        <f t="shared" si="2"/>
        <v>0</v>
      </c>
      <c r="J41" s="429"/>
      <c r="K41" s="446" t="str">
        <f>IF(B41="","",IF(J41=1,Data!$K$2,IF(J41=0,Data!$K$5,Data!$K$3)))</f>
        <v/>
      </c>
      <c r="L41" s="448" t="str">
        <f ca="1">IF(H41="","",IF(B41="","",IF(K41=Data!$K$2,"",IF(H41&lt;TODAY(),"!",""))))</f>
        <v/>
      </c>
    </row>
    <row r="42" spans="1:12" s="281" customFormat="1" ht="27" customHeight="1">
      <c r="A42" s="355"/>
      <c r="B42" s="515"/>
      <c r="C42" s="515"/>
      <c r="D42" s="510"/>
      <c r="E42" s="510"/>
      <c r="F42" s="430"/>
      <c r="G42" s="427"/>
      <c r="H42" s="427"/>
      <c r="I42" s="443">
        <f t="shared" si="2"/>
        <v>0</v>
      </c>
      <c r="J42" s="429"/>
      <c r="K42" s="446" t="str">
        <f>IF(B42="","",IF(J42=1,Data!$K$2,IF(J42=0,Data!$K$5,Data!$K$3)))</f>
        <v/>
      </c>
      <c r="L42" s="448" t="str">
        <f ca="1">IF(H42="","",IF(B42="","",IF(K42=Data!$K$2,"",IF(H42&lt;TODAY(),"!",""))))</f>
        <v/>
      </c>
    </row>
    <row r="43" spans="1:12" s="281" customFormat="1" ht="27" customHeight="1">
      <c r="A43" s="355"/>
      <c r="B43" s="515"/>
      <c r="C43" s="515"/>
      <c r="D43" s="510"/>
      <c r="E43" s="510"/>
      <c r="F43" s="430"/>
      <c r="G43" s="427"/>
      <c r="H43" s="427"/>
      <c r="I43" s="443">
        <f t="shared" si="2"/>
        <v>0</v>
      </c>
      <c r="J43" s="429"/>
      <c r="K43" s="446" t="str">
        <f>IF(B43="","",IF(J43=1,Data!$K$2,IF(J43=0,Data!$K$5,Data!$K$3)))</f>
        <v/>
      </c>
      <c r="L43" s="448" t="str">
        <f ca="1">IF(H43="","",IF(B43="","",IF(K43=Data!$K$2,"",IF(H43&lt;TODAY(),"!",""))))</f>
        <v/>
      </c>
    </row>
    <row r="44" spans="1:12" s="281" customFormat="1" ht="27" customHeight="1">
      <c r="A44" s="355"/>
      <c r="B44" s="515"/>
      <c r="C44" s="515"/>
      <c r="D44" s="510"/>
      <c r="E44" s="510"/>
      <c r="F44" s="430"/>
      <c r="G44" s="427"/>
      <c r="H44" s="427"/>
      <c r="I44" s="443">
        <f t="shared" si="2"/>
        <v>0</v>
      </c>
      <c r="J44" s="429"/>
      <c r="K44" s="446" t="str">
        <f>IF(B44="","",IF(J44=1,Data!$K$2,IF(J44=0,Data!$K$5,Data!$K$3)))</f>
        <v/>
      </c>
      <c r="L44" s="448" t="str">
        <f ca="1">IF(H44="","",IF(B44="","",IF(K44=Data!$K$2,"",IF(H44&lt;TODAY(),"!",""))))</f>
        <v/>
      </c>
    </row>
    <row r="45" spans="1:12" s="281" customFormat="1" ht="27" customHeight="1">
      <c r="A45" s="355"/>
      <c r="B45" s="515"/>
      <c r="C45" s="515"/>
      <c r="D45" s="510"/>
      <c r="E45" s="510"/>
      <c r="F45" s="430"/>
      <c r="G45" s="427"/>
      <c r="H45" s="427"/>
      <c r="I45" s="443">
        <f t="shared" si="2"/>
        <v>0</v>
      </c>
      <c r="J45" s="429"/>
      <c r="K45" s="446" t="str">
        <f>IF(B45="","",IF(J45=1,Data!$K$2,IF(J45=0,Data!$K$5,Data!$K$3)))</f>
        <v/>
      </c>
      <c r="L45" s="448" t="str">
        <f ca="1">IF(H45="","",IF(B45="","",IF(K45=Data!$K$2,"",IF(H45&lt;TODAY(),"!",""))))</f>
        <v/>
      </c>
    </row>
    <row r="46" spans="1:12" s="281" customFormat="1" ht="27" customHeight="1">
      <c r="A46" s="355"/>
      <c r="B46" s="515"/>
      <c r="C46" s="515"/>
      <c r="D46" s="510"/>
      <c r="E46" s="510"/>
      <c r="F46" s="430"/>
      <c r="G46" s="427"/>
      <c r="H46" s="427"/>
      <c r="I46" s="443">
        <f t="shared" si="2"/>
        <v>0</v>
      </c>
      <c r="J46" s="429"/>
      <c r="K46" s="446" t="str">
        <f>IF(B46="","",IF(J46=1,Data!$K$2,IF(J46=0,Data!$K$5,Data!$K$3)))</f>
        <v/>
      </c>
      <c r="L46" s="448" t="str">
        <f ca="1">IF(H46="","",IF(B46="","",IF(K46=Data!$K$2,"",IF(H46&lt;TODAY(),"!",""))))</f>
        <v/>
      </c>
    </row>
    <row r="47" spans="1:12" s="281" customFormat="1" ht="27" customHeight="1">
      <c r="A47" s="355"/>
      <c r="B47" s="515"/>
      <c r="C47" s="515"/>
      <c r="D47" s="510"/>
      <c r="E47" s="510"/>
      <c r="F47" s="430"/>
      <c r="G47" s="427"/>
      <c r="H47" s="427"/>
      <c r="I47" s="443">
        <f t="shared" si="2"/>
        <v>0</v>
      </c>
      <c r="J47" s="429"/>
      <c r="K47" s="446" t="str">
        <f>IF(B47="","",IF(J47=1,Data!$K$2,IF(J47=0,Data!$K$5,Data!$K$3)))</f>
        <v/>
      </c>
      <c r="L47" s="448" t="str">
        <f ca="1">IF(H47="","",IF(B47="","",IF(K47=Data!$K$2,"",IF(H47&lt;TODAY(),"!",""))))</f>
        <v/>
      </c>
    </row>
    <row r="48" spans="1:12" s="281" customFormat="1" ht="27" customHeight="1">
      <c r="A48" s="355"/>
      <c r="B48" s="515"/>
      <c r="C48" s="515"/>
      <c r="D48" s="510"/>
      <c r="E48" s="510"/>
      <c r="F48" s="430"/>
      <c r="G48" s="427"/>
      <c r="H48" s="427"/>
      <c r="I48" s="443">
        <f t="shared" si="2"/>
        <v>0</v>
      </c>
      <c r="J48" s="429"/>
      <c r="K48" s="446" t="str">
        <f>IF(B48="","",IF(J48=1,Data!$K$2,IF(J48=0,Data!$K$5,Data!$K$3)))</f>
        <v/>
      </c>
      <c r="L48" s="448" t="str">
        <f ca="1">IF(H48="","",IF(B48="","",IF(K48=Data!$K$2,"",IF(H48&lt;TODAY(),"!",""))))</f>
        <v/>
      </c>
    </row>
    <row r="49" spans="1:12" s="281" customFormat="1" ht="27" customHeight="1">
      <c r="A49" s="355"/>
      <c r="B49" s="515"/>
      <c r="C49" s="515"/>
      <c r="D49" s="510"/>
      <c r="E49" s="510"/>
      <c r="F49" s="430"/>
      <c r="G49" s="427"/>
      <c r="H49" s="427"/>
      <c r="I49" s="443">
        <f t="shared" si="2"/>
        <v>0</v>
      </c>
      <c r="J49" s="429"/>
      <c r="K49" s="446" t="str">
        <f>IF(B49="","",IF(J49=1,Data!$K$2,IF(J49=0,Data!$K$5,Data!$K$3)))</f>
        <v/>
      </c>
      <c r="L49" s="448" t="str">
        <f ca="1">IF(H49="","",IF(B49="","",IF(K49=Data!$K$2,"",IF(H49&lt;TODAY(),"!",""))))</f>
        <v/>
      </c>
    </row>
    <row r="50" spans="1:12" s="281" customFormat="1" ht="27" customHeight="1">
      <c r="A50" s="355"/>
      <c r="B50" s="515"/>
      <c r="C50" s="515"/>
      <c r="D50" s="510"/>
      <c r="E50" s="510"/>
      <c r="F50" s="430"/>
      <c r="G50" s="427"/>
      <c r="H50" s="427"/>
      <c r="I50" s="443">
        <f t="shared" si="2"/>
        <v>0</v>
      </c>
      <c r="J50" s="429"/>
      <c r="K50" s="446" t="str">
        <f>IF(B50="","",IF(J50=1,Data!$K$2,IF(J50=0,Data!$K$5,Data!$K$3)))</f>
        <v/>
      </c>
      <c r="L50" s="448" t="str">
        <f ca="1">IF(H50="","",IF(B50="","",IF(K50=Data!$K$2,"",IF(H50&lt;TODAY(),"!",""))))</f>
        <v/>
      </c>
    </row>
    <row r="51" spans="1:12" s="281" customFormat="1" ht="27" customHeight="1">
      <c r="A51" s="355"/>
      <c r="B51" s="515"/>
      <c r="C51" s="515"/>
      <c r="D51" s="510"/>
      <c r="E51" s="510"/>
      <c r="F51" s="430"/>
      <c r="G51" s="427"/>
      <c r="H51" s="427"/>
      <c r="I51" s="443">
        <f t="shared" si="2"/>
        <v>0</v>
      </c>
      <c r="J51" s="429"/>
      <c r="K51" s="446" t="str">
        <f>IF(B51="","",IF(J51=1,Data!$K$2,IF(J51=0,Data!$K$5,Data!$K$3)))</f>
        <v/>
      </c>
      <c r="L51" s="448" t="str">
        <f ca="1">IF(H51="","",IF(B51="","",IF(K51=Data!$K$2,"",IF(H51&lt;TODAY(),"!",""))))</f>
        <v/>
      </c>
    </row>
    <row r="52" spans="1:12" s="281" customFormat="1" ht="27" customHeight="1">
      <c r="A52" s="355"/>
      <c r="B52" s="515"/>
      <c r="C52" s="515"/>
      <c r="D52" s="510"/>
      <c r="E52" s="510"/>
      <c r="F52" s="430"/>
      <c r="G52" s="427"/>
      <c r="H52" s="427"/>
      <c r="I52" s="443">
        <f t="shared" si="2"/>
        <v>0</v>
      </c>
      <c r="J52" s="429"/>
      <c r="K52" s="446" t="str">
        <f>IF(B52="","",IF(J52=1,Data!$K$2,IF(J52=0,Data!$K$5,Data!$K$3)))</f>
        <v/>
      </c>
      <c r="L52" s="448" t="str">
        <f ca="1">IF(H52="","",IF(B52="","",IF(K52=Data!$K$2,"",IF(H52&lt;TODAY(),"!",""))))</f>
        <v/>
      </c>
    </row>
    <row r="53" spans="1:12" s="281" customFormat="1" ht="27" customHeight="1">
      <c r="A53" s="355"/>
      <c r="B53" s="515"/>
      <c r="C53" s="515"/>
      <c r="D53" s="510"/>
      <c r="E53" s="510"/>
      <c r="F53" s="430"/>
      <c r="G53" s="427"/>
      <c r="H53" s="427"/>
      <c r="I53" s="443">
        <f t="shared" si="2"/>
        <v>0</v>
      </c>
      <c r="J53" s="429"/>
      <c r="K53" s="446" t="str">
        <f>IF(B53="","",IF(J53=1,Data!$K$2,IF(J53=0,Data!$K$5,Data!$K$3)))</f>
        <v/>
      </c>
      <c r="L53" s="448" t="str">
        <f ca="1">IF(H53="","",IF(B53="","",IF(K53=Data!$K$2,"",IF(H53&lt;TODAY(),"!",""))))</f>
        <v/>
      </c>
    </row>
    <row r="54" spans="1:12" s="281" customFormat="1" ht="27" customHeight="1">
      <c r="A54" s="355"/>
      <c r="B54" s="515"/>
      <c r="C54" s="515"/>
      <c r="D54" s="510"/>
      <c r="E54" s="510"/>
      <c r="F54" s="430"/>
      <c r="G54" s="427"/>
      <c r="H54" s="427"/>
      <c r="I54" s="443">
        <f t="shared" si="2"/>
        <v>0</v>
      </c>
      <c r="J54" s="429"/>
      <c r="K54" s="446" t="str">
        <f>IF(B54="","",IF(J54=1,Data!$K$2,IF(J54=0,Data!$K$5,Data!$K$3)))</f>
        <v/>
      </c>
      <c r="L54" s="448" t="str">
        <f ca="1">IF(H54="","",IF(B54="","",IF(K54=Data!$K$2,"",IF(H54&lt;TODAY(),"!",""))))</f>
        <v/>
      </c>
    </row>
    <row r="55" spans="1:12" s="281" customFormat="1" ht="27" customHeight="1">
      <c r="A55" s="357"/>
      <c r="B55" s="515"/>
      <c r="C55" s="515"/>
      <c r="D55" s="510"/>
      <c r="E55" s="510"/>
      <c r="F55" s="430"/>
      <c r="G55" s="427"/>
      <c r="H55" s="427"/>
      <c r="I55" s="443">
        <f t="shared" si="2"/>
        <v>0</v>
      </c>
      <c r="J55" s="429"/>
      <c r="K55" s="446" t="str">
        <f>IF(B55="","",IF(J55=1,Data!$K$2,IF(J55=0,Data!$K$5,Data!$K$3)))</f>
        <v/>
      </c>
      <c r="L55" s="448" t="str">
        <f ca="1">IF(H55="","",IF(B55="","",IF(K55=Data!$K$2,"",IF(H55&lt;TODAY(),"!",""))))</f>
        <v/>
      </c>
    </row>
    <row r="56" spans="1:12" s="281" customFormat="1" ht="27" customHeight="1">
      <c r="A56" s="357"/>
      <c r="B56" s="515"/>
      <c r="C56" s="515"/>
      <c r="D56" s="510"/>
      <c r="E56" s="510"/>
      <c r="F56" s="430"/>
      <c r="G56" s="427"/>
      <c r="H56" s="427"/>
      <c r="I56" s="443">
        <f t="shared" si="2"/>
        <v>0</v>
      </c>
      <c r="J56" s="429"/>
      <c r="K56" s="446" t="str">
        <f>IF(B56="","",IF(J56=1,Data!$K$2,IF(J56=0,Data!$K$5,Data!$K$3)))</f>
        <v/>
      </c>
      <c r="L56" s="448" t="str">
        <f ca="1">IF(H56="","",IF(B56="","",IF(K56=Data!$K$2,"",IF(H56&lt;TODAY(),"!",""))))</f>
        <v/>
      </c>
    </row>
    <row r="57" spans="1:12" s="281" customFormat="1" ht="27" customHeight="1">
      <c r="A57" s="357"/>
      <c r="B57" s="515"/>
      <c r="C57" s="515"/>
      <c r="D57" s="510"/>
      <c r="E57" s="510"/>
      <c r="F57" s="430"/>
      <c r="G57" s="427"/>
      <c r="H57" s="427"/>
      <c r="I57" s="443">
        <f t="shared" si="2"/>
        <v>0</v>
      </c>
      <c r="J57" s="429"/>
      <c r="K57" s="446" t="str">
        <f>IF(B57="","",IF(J57=1,Data!$K$2,IF(J57=0,Data!$K$5,Data!$K$3)))</f>
        <v/>
      </c>
      <c r="L57" s="448" t="str">
        <f ca="1">IF(H57="","",IF(B57="","",IF(K57=Data!$K$2,"",IF(H57&lt;TODAY(),"!",""))))</f>
        <v/>
      </c>
    </row>
    <row r="58" spans="1:12" s="281" customFormat="1" ht="27" customHeight="1">
      <c r="A58" s="357"/>
      <c r="B58" s="515"/>
      <c r="C58" s="515"/>
      <c r="D58" s="510"/>
      <c r="E58" s="510"/>
      <c r="F58" s="430"/>
      <c r="G58" s="427"/>
      <c r="H58" s="427"/>
      <c r="I58" s="443">
        <f t="shared" si="2"/>
        <v>0</v>
      </c>
      <c r="J58" s="429"/>
      <c r="K58" s="446" t="str">
        <f>IF(B58="","",IF(J58=1,Data!$K$2,IF(J58=0,Data!$K$5,Data!$K$3)))</f>
        <v/>
      </c>
      <c r="L58" s="448" t="str">
        <f ca="1">IF(H58="","",IF(B58="","",IF(K58=Data!$K$2,"",IF(H58&lt;TODAY(),"!",""))))</f>
        <v/>
      </c>
    </row>
    <row r="59" spans="1:12" s="281" customFormat="1" ht="27" customHeight="1">
      <c r="A59" s="357"/>
      <c r="B59" s="515"/>
      <c r="C59" s="515"/>
      <c r="D59" s="510"/>
      <c r="E59" s="510"/>
      <c r="F59" s="430"/>
      <c r="G59" s="427"/>
      <c r="H59" s="427"/>
      <c r="I59" s="443">
        <f t="shared" si="2"/>
        <v>0</v>
      </c>
      <c r="J59" s="429"/>
      <c r="K59" s="446" t="str">
        <f>IF(B59="","",IF(J59=1,Data!$K$2,IF(J59=0,Data!$K$5,Data!$K$3)))</f>
        <v/>
      </c>
      <c r="L59" s="448" t="str">
        <f ca="1">IF(H59="","",IF(B59="","",IF(K59=Data!$K$2,"",IF(H59&lt;TODAY(),"!",""))))</f>
        <v/>
      </c>
    </row>
    <row r="60" spans="1:12" s="281" customFormat="1" ht="27" customHeight="1">
      <c r="A60" s="357"/>
      <c r="B60" s="515"/>
      <c r="C60" s="515"/>
      <c r="D60" s="510"/>
      <c r="E60" s="510"/>
      <c r="F60" s="430"/>
      <c r="G60" s="427"/>
      <c r="H60" s="427"/>
      <c r="I60" s="443">
        <f t="shared" si="2"/>
        <v>0</v>
      </c>
      <c r="J60" s="429"/>
      <c r="K60" s="446" t="str">
        <f>IF(B60="","",IF(J60=1,Data!$K$2,IF(J60=0,Data!$K$5,Data!$K$3)))</f>
        <v/>
      </c>
      <c r="L60" s="448" t="str">
        <f ca="1">IF(H60="","",IF(B60="","",IF(K60=Data!$K$2,"",IF(H60&lt;TODAY(),"!",""))))</f>
        <v/>
      </c>
    </row>
    <row r="61" spans="1:12" s="281" customFormat="1" ht="27" customHeight="1">
      <c r="A61" s="357"/>
      <c r="B61" s="515"/>
      <c r="C61" s="515"/>
      <c r="D61" s="510"/>
      <c r="E61" s="510"/>
      <c r="F61" s="430"/>
      <c r="G61" s="427"/>
      <c r="H61" s="427"/>
      <c r="I61" s="443">
        <f t="shared" si="2"/>
        <v>0</v>
      </c>
      <c r="J61" s="429"/>
      <c r="K61" s="446" t="str">
        <f>IF(B61="","",IF(J61=1,Data!$K$2,IF(J61=0,Data!$K$5,Data!$K$3)))</f>
        <v/>
      </c>
      <c r="L61" s="448" t="str">
        <f ca="1">IF(H61="","",IF(B61="","",IF(K61=Data!$K$2,"",IF(H61&lt;TODAY(),"!",""))))</f>
        <v/>
      </c>
    </row>
    <row r="62" spans="1:12" s="281" customFormat="1" ht="27" customHeight="1">
      <c r="A62" s="357"/>
      <c r="B62" s="515"/>
      <c r="C62" s="515"/>
      <c r="D62" s="510"/>
      <c r="E62" s="510"/>
      <c r="F62" s="430"/>
      <c r="G62" s="427"/>
      <c r="H62" s="427"/>
      <c r="I62" s="443">
        <f t="shared" si="2"/>
        <v>0</v>
      </c>
      <c r="J62" s="429"/>
      <c r="K62" s="446" t="str">
        <f>IF(B62="","",IF(J62=1,Data!$K$2,IF(J62=0,Data!$K$5,Data!$K$3)))</f>
        <v/>
      </c>
      <c r="L62" s="448" t="str">
        <f ca="1">IF(H62="","",IF(B62="","",IF(K62=Data!$K$2,"",IF(H62&lt;TODAY(),"!",""))))</f>
        <v/>
      </c>
    </row>
    <row r="63" spans="1:12" s="281" customFormat="1" ht="27" customHeight="1">
      <c r="A63" s="357"/>
      <c r="B63" s="515"/>
      <c r="C63" s="515"/>
      <c r="D63" s="510"/>
      <c r="E63" s="510"/>
      <c r="F63" s="430"/>
      <c r="G63" s="427"/>
      <c r="H63" s="427"/>
      <c r="I63" s="443">
        <f t="shared" si="2"/>
        <v>0</v>
      </c>
      <c r="J63" s="429"/>
      <c r="K63" s="446" t="str">
        <f>IF(B63="","",IF(J63=1,Data!$K$2,IF(J63=0,Data!$K$5,Data!$K$3)))</f>
        <v/>
      </c>
      <c r="L63" s="448" t="str">
        <f ca="1">IF(H63="","",IF(B63="","",IF(K63=Data!$K$2,"",IF(H63&lt;TODAY(),"!",""))))</f>
        <v/>
      </c>
    </row>
    <row r="64" spans="1:12" s="281" customFormat="1" ht="27" customHeight="1">
      <c r="A64" s="357"/>
      <c r="B64" s="515"/>
      <c r="C64" s="515"/>
      <c r="D64" s="510"/>
      <c r="E64" s="510"/>
      <c r="F64" s="430"/>
      <c r="G64" s="427"/>
      <c r="H64" s="427"/>
      <c r="I64" s="443">
        <f t="shared" si="2"/>
        <v>0</v>
      </c>
      <c r="J64" s="429"/>
      <c r="K64" s="446" t="str">
        <f>IF(B64="","",IF(J64=1,Data!$K$2,IF(J64=0,Data!$K$5,Data!$K$3)))</f>
        <v/>
      </c>
      <c r="L64" s="448" t="str">
        <f ca="1">IF(H64="","",IF(B64="","",IF(K64=Data!$K$2,"",IF(H64&lt;TODAY(),"!",""))))</f>
        <v/>
      </c>
    </row>
    <row r="65" spans="1:12" s="281" customFormat="1" ht="27" customHeight="1">
      <c r="A65" s="357"/>
      <c r="B65" s="515"/>
      <c r="C65" s="515"/>
      <c r="D65" s="510"/>
      <c r="E65" s="510"/>
      <c r="F65" s="430"/>
      <c r="G65" s="427"/>
      <c r="H65" s="427"/>
      <c r="I65" s="443">
        <f t="shared" si="2"/>
        <v>0</v>
      </c>
      <c r="J65" s="429"/>
      <c r="K65" s="446" t="str">
        <f>IF(B65="","",IF(J65=1,Data!$K$2,IF(J65=0,Data!$K$5,Data!$K$3)))</f>
        <v/>
      </c>
      <c r="L65" s="448" t="str">
        <f ca="1">IF(H65="","",IF(B65="","",IF(K65=Data!$K$2,"",IF(H65&lt;TODAY(),"!",""))))</f>
        <v/>
      </c>
    </row>
    <row r="66" spans="1:12" s="281" customFormat="1" ht="27" customHeight="1">
      <c r="A66" s="357"/>
      <c r="B66" s="515"/>
      <c r="C66" s="515"/>
      <c r="D66" s="510"/>
      <c r="E66" s="510"/>
      <c r="F66" s="430"/>
      <c r="G66" s="427"/>
      <c r="H66" s="427"/>
      <c r="I66" s="443">
        <f t="shared" si="2"/>
        <v>0</v>
      </c>
      <c r="J66" s="429"/>
      <c r="K66" s="446" t="str">
        <f>IF(B66="","",IF(J66=1,Data!$K$2,IF(J66=0,Data!$K$5,Data!$K$3)))</f>
        <v/>
      </c>
      <c r="L66" s="448" t="str">
        <f ca="1">IF(H66="","",IF(B66="","",IF(K66=Data!$K$2,"",IF(H66&lt;TODAY(),"!",""))))</f>
        <v/>
      </c>
    </row>
    <row r="67" spans="1:12" s="281" customFormat="1" ht="27" customHeight="1">
      <c r="A67" s="357"/>
      <c r="B67" s="515"/>
      <c r="C67" s="515"/>
      <c r="D67" s="510"/>
      <c r="E67" s="510"/>
      <c r="F67" s="430"/>
      <c r="G67" s="427"/>
      <c r="H67" s="427"/>
      <c r="I67" s="443">
        <f t="shared" si="2"/>
        <v>0</v>
      </c>
      <c r="J67" s="429"/>
      <c r="K67" s="446" t="str">
        <f>IF(B67="","",IF(J67=1,Data!$K$2,IF(J67=0,Data!$K$5,Data!$K$3)))</f>
        <v/>
      </c>
      <c r="L67" s="448" t="str">
        <f ca="1">IF(H67="","",IF(B67="","",IF(K67=Data!$K$2,"",IF(H67&lt;TODAY(),"!",""))))</f>
        <v/>
      </c>
    </row>
    <row r="68" spans="1:12" ht="27" customHeight="1">
      <c r="B68" s="515"/>
      <c r="C68" s="515"/>
      <c r="D68" s="510"/>
      <c r="E68" s="510"/>
      <c r="F68" s="432"/>
      <c r="G68" s="433"/>
      <c r="H68" s="433"/>
      <c r="I68" s="444">
        <f t="shared" si="2"/>
        <v>0</v>
      </c>
      <c r="J68" s="434"/>
      <c r="K68" s="446" t="str">
        <f>IF(B68="","",IF(J68=1,Data!$K$2,IF(J68=0,Data!$K$5,Data!$K$3)))</f>
        <v/>
      </c>
      <c r="L68" s="448" t="str">
        <f ca="1">IF(H68="","",IF(B68="","",IF(K68=Data!$K$2,"",IF(H68&lt;TODAY(),"!",""))))</f>
        <v/>
      </c>
    </row>
    <row r="69" spans="1:12" ht="27" customHeight="1">
      <c r="B69" s="515"/>
      <c r="C69" s="515"/>
      <c r="D69" s="510"/>
      <c r="E69" s="510"/>
      <c r="F69" s="432"/>
      <c r="G69" s="433"/>
      <c r="H69" s="433"/>
      <c r="I69" s="444">
        <f t="shared" si="2"/>
        <v>0</v>
      </c>
      <c r="J69" s="434"/>
      <c r="K69" s="446" t="str">
        <f>IF(B69="","",IF(J69=1,Data!$K$2,IF(J69=0,Data!$K$5,Data!$K$3)))</f>
        <v/>
      </c>
      <c r="L69" s="448" t="str">
        <f ca="1">IF(H69="","",IF(B69="","",IF(K69=Data!$K$2,"",IF(H69&lt;TODAY(),"!",""))))</f>
        <v/>
      </c>
    </row>
    <row r="70" spans="1:12" ht="27" customHeight="1">
      <c r="B70" s="515"/>
      <c r="C70" s="515"/>
      <c r="D70" s="510"/>
      <c r="E70" s="510"/>
      <c r="F70" s="432"/>
      <c r="G70" s="433"/>
      <c r="H70" s="433"/>
      <c r="I70" s="444">
        <f t="shared" si="2"/>
        <v>0</v>
      </c>
      <c r="J70" s="434"/>
      <c r="K70" s="446" t="str">
        <f>IF(B70="","",IF(J70=1,Data!$K$2,IF(J70=0,Data!$K$5,Data!$K$3)))</f>
        <v/>
      </c>
      <c r="L70" s="448" t="str">
        <f ca="1">IF(H70="","",IF(B70="","",IF(K70=Data!$K$2,"",IF(H70&lt;TODAY(),"!",""))))</f>
        <v/>
      </c>
    </row>
    <row r="71" spans="1:12" ht="27" customHeight="1">
      <c r="B71" s="515"/>
      <c r="C71" s="515"/>
      <c r="D71" s="510"/>
      <c r="E71" s="510"/>
      <c r="F71" s="432"/>
      <c r="G71" s="433"/>
      <c r="H71" s="433"/>
      <c r="I71" s="444">
        <f t="shared" si="2"/>
        <v>0</v>
      </c>
      <c r="J71" s="434"/>
      <c r="K71" s="446" t="str">
        <f>IF(B71="","",IF(J71=1,Data!$K$2,IF(J71=0,Data!$K$5,Data!$K$3)))</f>
        <v/>
      </c>
      <c r="L71" s="448" t="str">
        <f ca="1">IF(H71="","",IF(B71="","",IF(K71=Data!$K$2,"",IF(H71&lt;TODAY(),"!",""))))</f>
        <v/>
      </c>
    </row>
    <row r="72" spans="1:12" ht="27" customHeight="1">
      <c r="B72" s="515"/>
      <c r="C72" s="515"/>
      <c r="D72" s="510"/>
      <c r="E72" s="510"/>
      <c r="F72" s="432"/>
      <c r="G72" s="433"/>
      <c r="H72" s="433"/>
      <c r="I72" s="444">
        <f t="shared" si="2"/>
        <v>0</v>
      </c>
      <c r="J72" s="434"/>
      <c r="K72" s="446" t="str">
        <f>IF(B72="","",IF(J72=1,Data!$K$2,IF(J72=0,Data!$K$5,Data!$K$3)))</f>
        <v/>
      </c>
      <c r="L72" s="448" t="str">
        <f ca="1">IF(H72="","",IF(B72="","",IF(K72=Data!$K$2,"",IF(H72&lt;TODAY(),"!",""))))</f>
        <v/>
      </c>
    </row>
    <row r="73" spans="1:12" ht="27" customHeight="1">
      <c r="B73" s="515"/>
      <c r="C73" s="515"/>
      <c r="D73" s="510"/>
      <c r="E73" s="510"/>
      <c r="F73" s="432"/>
      <c r="G73" s="433"/>
      <c r="H73" s="433"/>
      <c r="I73" s="444">
        <f t="shared" si="2"/>
        <v>0</v>
      </c>
      <c r="J73" s="434"/>
      <c r="K73" s="446" t="str">
        <f>IF(B73="","",IF(J73=1,Data!$K$2,IF(J73=0,Data!$K$5,Data!$K$3)))</f>
        <v/>
      </c>
      <c r="L73" s="448" t="str">
        <f ca="1">IF(H73="","",IF(B73="","",IF(K73=Data!$K$2,"",IF(H73&lt;TODAY(),"!",""))))</f>
        <v/>
      </c>
    </row>
    <row r="74" spans="1:12" ht="27" customHeight="1">
      <c r="B74" s="515"/>
      <c r="C74" s="515"/>
      <c r="D74" s="510"/>
      <c r="E74" s="510"/>
      <c r="F74" s="432"/>
      <c r="G74" s="433"/>
      <c r="H74" s="433"/>
      <c r="I74" s="444">
        <f t="shared" si="2"/>
        <v>0</v>
      </c>
      <c r="J74" s="434"/>
      <c r="K74" s="446" t="str">
        <f>IF(B74="","",IF(J74=1,Data!$K$2,IF(J74=0,Data!$K$5,Data!$K$3)))</f>
        <v/>
      </c>
      <c r="L74" s="448" t="str">
        <f ca="1">IF(H74="","",IF(B74="","",IF(K74=Data!$K$2,"",IF(H74&lt;TODAY(),"!",""))))</f>
        <v/>
      </c>
    </row>
    <row r="75" spans="1:12" ht="27" customHeight="1">
      <c r="B75" s="515"/>
      <c r="C75" s="515"/>
      <c r="D75" s="510"/>
      <c r="E75" s="510"/>
      <c r="F75" s="432"/>
      <c r="G75" s="433"/>
      <c r="H75" s="433"/>
      <c r="I75" s="444">
        <f t="shared" si="2"/>
        <v>0</v>
      </c>
      <c r="J75" s="434"/>
      <c r="K75" s="446" t="str">
        <f>IF(B75="","",IF(J75=1,Data!$K$2,IF(J75=0,Data!$K$5,Data!$K$3)))</f>
        <v/>
      </c>
      <c r="L75" s="448" t="str">
        <f ca="1">IF(H75="","",IF(B75="","",IF(K75=Data!$K$2,"",IF(H75&lt;TODAY(),"!",""))))</f>
        <v/>
      </c>
    </row>
    <row r="76" spans="1:12" ht="27" customHeight="1">
      <c r="B76" s="515"/>
      <c r="C76" s="515"/>
      <c r="D76" s="510"/>
      <c r="E76" s="510"/>
      <c r="F76" s="432"/>
      <c r="G76" s="433"/>
      <c r="H76" s="433"/>
      <c r="I76" s="444">
        <f t="shared" si="2"/>
        <v>0</v>
      </c>
      <c r="J76" s="434"/>
      <c r="K76" s="446" t="str">
        <f>IF(B76="","",IF(J76=1,Data!$K$2,IF(J76=0,Data!$K$5,Data!$K$3)))</f>
        <v/>
      </c>
      <c r="L76" s="448" t="str">
        <f ca="1">IF(H76="","",IF(B76="","",IF(K76=Data!$K$2,"",IF(H76&lt;TODAY(),"!",""))))</f>
        <v/>
      </c>
    </row>
    <row r="77" spans="1:12" ht="27" customHeight="1">
      <c r="B77" s="515"/>
      <c r="C77" s="515"/>
      <c r="D77" s="510"/>
      <c r="E77" s="510"/>
      <c r="F77" s="432"/>
      <c r="G77" s="433"/>
      <c r="H77" s="433"/>
      <c r="I77" s="444">
        <f t="shared" ref="I77:I111" si="3">IFERROR(H77-G77,0)</f>
        <v>0</v>
      </c>
      <c r="J77" s="434"/>
      <c r="K77" s="446" t="str">
        <f>IF(B77="","",IF(J77=1,Data!$K$2,IF(J77=0,Data!$K$5,Data!$K$3)))</f>
        <v/>
      </c>
      <c r="L77" s="448" t="str">
        <f ca="1">IF(H77="","",IF(B77="","",IF(K77=Data!$K$2,"",IF(H77&lt;TODAY(),"!",""))))</f>
        <v/>
      </c>
    </row>
    <row r="78" spans="1:12" ht="27" customHeight="1">
      <c r="B78" s="515"/>
      <c r="C78" s="515"/>
      <c r="D78" s="510"/>
      <c r="E78" s="510"/>
      <c r="F78" s="432"/>
      <c r="G78" s="433"/>
      <c r="H78" s="433"/>
      <c r="I78" s="444">
        <f t="shared" si="3"/>
        <v>0</v>
      </c>
      <c r="J78" s="434"/>
      <c r="K78" s="446" t="str">
        <f>IF(B78="","",IF(J78=1,Data!$K$2,IF(J78=0,Data!$K$5,Data!$K$3)))</f>
        <v/>
      </c>
      <c r="L78" s="448" t="str">
        <f ca="1">IF(H78="","",IF(B78="","",IF(K78=Data!$K$2,"",IF(H78&lt;TODAY(),"!",""))))</f>
        <v/>
      </c>
    </row>
    <row r="79" spans="1:12" ht="27" customHeight="1">
      <c r="B79" s="515"/>
      <c r="C79" s="515"/>
      <c r="D79" s="510"/>
      <c r="E79" s="510"/>
      <c r="F79" s="432"/>
      <c r="G79" s="433"/>
      <c r="H79" s="433"/>
      <c r="I79" s="444">
        <f t="shared" si="3"/>
        <v>0</v>
      </c>
      <c r="J79" s="434"/>
      <c r="K79" s="446" t="str">
        <f>IF(B79="","",IF(J79=1,Data!$K$2,IF(J79=0,Data!$K$5,Data!$K$3)))</f>
        <v/>
      </c>
      <c r="L79" s="448" t="str">
        <f ca="1">IF(H79="","",IF(B79="","",IF(K79=Data!$K$2,"",IF(H79&lt;TODAY(),"!",""))))</f>
        <v/>
      </c>
    </row>
    <row r="80" spans="1:12" ht="27" customHeight="1">
      <c r="B80" s="515"/>
      <c r="C80" s="515"/>
      <c r="D80" s="510"/>
      <c r="E80" s="510"/>
      <c r="F80" s="432"/>
      <c r="G80" s="433"/>
      <c r="H80" s="433"/>
      <c r="I80" s="444">
        <f t="shared" si="3"/>
        <v>0</v>
      </c>
      <c r="J80" s="434"/>
      <c r="K80" s="446" t="str">
        <f>IF(B80="","",IF(J80=1,Data!$K$2,IF(J80=0,Data!$K$5,Data!$K$3)))</f>
        <v/>
      </c>
      <c r="L80" s="448" t="str">
        <f ca="1">IF(H80="","",IF(B80="","",IF(K80=Data!$K$2,"",IF(H80&lt;TODAY(),"!",""))))</f>
        <v/>
      </c>
    </row>
    <row r="81" spans="2:12" ht="27" customHeight="1">
      <c r="B81" s="515"/>
      <c r="C81" s="515"/>
      <c r="D81" s="510"/>
      <c r="E81" s="510"/>
      <c r="F81" s="432"/>
      <c r="G81" s="433"/>
      <c r="H81" s="433"/>
      <c r="I81" s="444">
        <f t="shared" si="3"/>
        <v>0</v>
      </c>
      <c r="J81" s="434"/>
      <c r="K81" s="446" t="str">
        <f>IF(B81="","",IF(J81=1,Data!$K$2,IF(J81=0,Data!$K$5,Data!$K$3)))</f>
        <v/>
      </c>
      <c r="L81" s="448" t="str">
        <f ca="1">IF(H81="","",IF(B81="","",IF(K81=Data!$K$2,"",IF(H81&lt;TODAY(),"!",""))))</f>
        <v/>
      </c>
    </row>
    <row r="82" spans="2:12" ht="27" customHeight="1">
      <c r="B82" s="515"/>
      <c r="C82" s="515"/>
      <c r="D82" s="510"/>
      <c r="E82" s="510"/>
      <c r="F82" s="432"/>
      <c r="G82" s="433"/>
      <c r="H82" s="433"/>
      <c r="I82" s="444">
        <f t="shared" si="3"/>
        <v>0</v>
      </c>
      <c r="J82" s="434"/>
      <c r="K82" s="446" t="str">
        <f>IF(B82="","",IF(J82=1,Data!$K$2,IF(J82=0,Data!$K$5,Data!$K$3)))</f>
        <v/>
      </c>
      <c r="L82" s="448" t="str">
        <f ca="1">IF(H82="","",IF(B82="","",IF(K82=Data!$K$2,"",IF(H82&lt;TODAY(),"!",""))))</f>
        <v/>
      </c>
    </row>
    <row r="83" spans="2:12" ht="27" customHeight="1">
      <c r="B83" s="515"/>
      <c r="C83" s="515"/>
      <c r="D83" s="510"/>
      <c r="E83" s="510"/>
      <c r="F83" s="432"/>
      <c r="G83" s="433"/>
      <c r="H83" s="433"/>
      <c r="I83" s="444">
        <f t="shared" si="3"/>
        <v>0</v>
      </c>
      <c r="J83" s="434"/>
      <c r="K83" s="446" t="str">
        <f>IF(B83="","",IF(J83=1,Data!$K$2,IF(J83=0,Data!$K$5,Data!$K$3)))</f>
        <v/>
      </c>
      <c r="L83" s="448" t="str">
        <f ca="1">IF(H83="","",IF(B83="","",IF(K83=Data!$K$2,"",IF(H83&lt;TODAY(),"!",""))))</f>
        <v/>
      </c>
    </row>
    <row r="84" spans="2:12" ht="27" customHeight="1">
      <c r="B84" s="515"/>
      <c r="C84" s="515"/>
      <c r="D84" s="510"/>
      <c r="E84" s="510"/>
      <c r="F84" s="432"/>
      <c r="G84" s="433"/>
      <c r="H84" s="433"/>
      <c r="I84" s="444">
        <f t="shared" si="3"/>
        <v>0</v>
      </c>
      <c r="J84" s="434"/>
      <c r="K84" s="446" t="str">
        <f>IF(B84="","",IF(J84=1,Data!$K$2,IF(J84=0,Data!$K$5,Data!$K$3)))</f>
        <v/>
      </c>
      <c r="L84" s="448" t="str">
        <f ca="1">IF(H84="","",IF(B84="","",IF(K84=Data!$K$2,"",IF(H84&lt;TODAY(),"!",""))))</f>
        <v/>
      </c>
    </row>
    <row r="85" spans="2:12" ht="27" customHeight="1">
      <c r="B85" s="515"/>
      <c r="C85" s="515"/>
      <c r="D85" s="510"/>
      <c r="E85" s="510"/>
      <c r="F85" s="432"/>
      <c r="G85" s="433"/>
      <c r="H85" s="433"/>
      <c r="I85" s="444">
        <f t="shared" si="3"/>
        <v>0</v>
      </c>
      <c r="J85" s="434"/>
      <c r="K85" s="446" t="str">
        <f>IF(B85="","",IF(J85=1,Data!$K$2,IF(J85=0,Data!$K$5,Data!$K$3)))</f>
        <v/>
      </c>
      <c r="L85" s="448" t="str">
        <f ca="1">IF(H85="","",IF(B85="","",IF(K85=Data!$K$2,"",IF(H85&lt;TODAY(),"!",""))))</f>
        <v/>
      </c>
    </row>
    <row r="86" spans="2:12" ht="27" customHeight="1">
      <c r="B86" s="515"/>
      <c r="C86" s="515"/>
      <c r="D86" s="510"/>
      <c r="E86" s="510"/>
      <c r="F86" s="432"/>
      <c r="G86" s="433"/>
      <c r="H86" s="433"/>
      <c r="I86" s="444">
        <f t="shared" si="3"/>
        <v>0</v>
      </c>
      <c r="J86" s="434"/>
      <c r="K86" s="446" t="str">
        <f>IF(B86="","",IF(J86=1,Data!$K$2,IF(J86=0,Data!$K$5,Data!$K$3)))</f>
        <v/>
      </c>
      <c r="L86" s="448" t="str">
        <f ca="1">IF(H86="","",IF(B86="","",IF(K86=Data!$K$2,"",IF(H86&lt;TODAY(),"!",""))))</f>
        <v/>
      </c>
    </row>
    <row r="87" spans="2:12" ht="27" customHeight="1">
      <c r="B87" s="515"/>
      <c r="C87" s="515"/>
      <c r="D87" s="510"/>
      <c r="E87" s="510"/>
      <c r="F87" s="432"/>
      <c r="G87" s="433"/>
      <c r="H87" s="433"/>
      <c r="I87" s="444">
        <f t="shared" si="3"/>
        <v>0</v>
      </c>
      <c r="J87" s="434"/>
      <c r="K87" s="446" t="str">
        <f>IF(B87="","",IF(J87=1,Data!$K$2,IF(J87=0,Data!$K$5,Data!$K$3)))</f>
        <v/>
      </c>
      <c r="L87" s="448" t="str">
        <f ca="1">IF(H87="","",IF(B87="","",IF(K87=Data!$K$2,"",IF(H87&lt;TODAY(),"!",""))))</f>
        <v/>
      </c>
    </row>
    <row r="88" spans="2:12" ht="27" customHeight="1">
      <c r="B88" s="515"/>
      <c r="C88" s="515"/>
      <c r="D88" s="510"/>
      <c r="E88" s="510"/>
      <c r="F88" s="432"/>
      <c r="G88" s="433"/>
      <c r="H88" s="433"/>
      <c r="I88" s="444">
        <f t="shared" si="3"/>
        <v>0</v>
      </c>
      <c r="J88" s="434"/>
      <c r="K88" s="446" t="str">
        <f>IF(B88="","",IF(J88=1,Data!$K$2,IF(J88=0,Data!$K$5,Data!$K$3)))</f>
        <v/>
      </c>
      <c r="L88" s="448" t="str">
        <f ca="1">IF(H88="","",IF(B88="","",IF(K88=Data!$K$2,"",IF(H88&lt;TODAY(),"!",""))))</f>
        <v/>
      </c>
    </row>
    <row r="89" spans="2:12" ht="27" customHeight="1">
      <c r="B89" s="515"/>
      <c r="C89" s="515"/>
      <c r="D89" s="510"/>
      <c r="E89" s="510"/>
      <c r="F89" s="432"/>
      <c r="G89" s="433"/>
      <c r="H89" s="433"/>
      <c r="I89" s="444">
        <f t="shared" si="3"/>
        <v>0</v>
      </c>
      <c r="J89" s="434"/>
      <c r="K89" s="446" t="str">
        <f>IF(B89="","",IF(J89=1,Data!$K$2,IF(J89=0,Data!$K$5,Data!$K$3)))</f>
        <v/>
      </c>
      <c r="L89" s="448" t="str">
        <f ca="1">IF(H89="","",IF(B89="","",IF(K89=Data!$K$2,"",IF(H89&lt;TODAY(),"!",""))))</f>
        <v/>
      </c>
    </row>
    <row r="90" spans="2:12" ht="27" customHeight="1">
      <c r="B90" s="515"/>
      <c r="C90" s="515"/>
      <c r="D90" s="510"/>
      <c r="E90" s="510"/>
      <c r="F90" s="432"/>
      <c r="G90" s="433"/>
      <c r="H90" s="433"/>
      <c r="I90" s="444">
        <f t="shared" si="3"/>
        <v>0</v>
      </c>
      <c r="J90" s="434"/>
      <c r="K90" s="446" t="str">
        <f>IF(B90="","",IF(J90=1,Data!$K$2,IF(J90=0,Data!$K$5,Data!$K$3)))</f>
        <v/>
      </c>
      <c r="L90" s="448" t="str">
        <f ca="1">IF(H90="","",IF(B90="","",IF(K90=Data!$K$2,"",IF(H90&lt;TODAY(),"!",""))))</f>
        <v/>
      </c>
    </row>
    <row r="91" spans="2:12" ht="27" customHeight="1">
      <c r="B91" s="515"/>
      <c r="C91" s="515"/>
      <c r="D91" s="510"/>
      <c r="E91" s="510"/>
      <c r="F91" s="432"/>
      <c r="G91" s="433"/>
      <c r="H91" s="433"/>
      <c r="I91" s="444">
        <f t="shared" si="3"/>
        <v>0</v>
      </c>
      <c r="J91" s="434"/>
      <c r="K91" s="446" t="str">
        <f>IF(B91="","",IF(J91=1,Data!$K$2,IF(J91=0,Data!$K$5,Data!$K$3)))</f>
        <v/>
      </c>
      <c r="L91" s="448" t="str">
        <f ca="1">IF(H91="","",IF(B91="","",IF(K91=Data!$K$2,"",IF(H91&lt;TODAY(),"!",""))))</f>
        <v/>
      </c>
    </row>
    <row r="92" spans="2:12" ht="27" customHeight="1">
      <c r="B92" s="515"/>
      <c r="C92" s="515"/>
      <c r="D92" s="510"/>
      <c r="E92" s="510"/>
      <c r="F92" s="432"/>
      <c r="G92" s="433"/>
      <c r="H92" s="433"/>
      <c r="I92" s="444">
        <f t="shared" si="3"/>
        <v>0</v>
      </c>
      <c r="J92" s="434"/>
      <c r="K92" s="446" t="str">
        <f>IF(B92="","",IF(J92=1,Data!$K$2,IF(J92=0,Data!$K$5,Data!$K$3)))</f>
        <v/>
      </c>
      <c r="L92" s="448" t="str">
        <f ca="1">IF(H92="","",IF(B92="","",IF(K92=Data!$K$2,"",IF(H92&lt;TODAY(),"!",""))))</f>
        <v/>
      </c>
    </row>
    <row r="93" spans="2:12" ht="27" customHeight="1">
      <c r="B93" s="515"/>
      <c r="C93" s="515"/>
      <c r="D93" s="510"/>
      <c r="E93" s="510"/>
      <c r="F93" s="432"/>
      <c r="G93" s="433"/>
      <c r="H93" s="433"/>
      <c r="I93" s="444">
        <f t="shared" si="3"/>
        <v>0</v>
      </c>
      <c r="J93" s="434"/>
      <c r="K93" s="446" t="str">
        <f>IF(B93="","",IF(J93=1,Data!$K$2,IF(J93=0,Data!$K$5,Data!$K$3)))</f>
        <v/>
      </c>
      <c r="L93" s="448" t="str">
        <f ca="1">IF(H93="","",IF(B93="","",IF(K93=Data!$K$2,"",IF(H93&lt;TODAY(),"!",""))))</f>
        <v/>
      </c>
    </row>
    <row r="94" spans="2:12" ht="27" customHeight="1">
      <c r="B94" s="515"/>
      <c r="C94" s="515"/>
      <c r="D94" s="510"/>
      <c r="E94" s="510"/>
      <c r="F94" s="432"/>
      <c r="G94" s="433"/>
      <c r="H94" s="433"/>
      <c r="I94" s="444">
        <f t="shared" si="3"/>
        <v>0</v>
      </c>
      <c r="J94" s="434"/>
      <c r="K94" s="446" t="str">
        <f>IF(B94="","",IF(J94=1,Data!$K$2,IF(J94=0,Data!$K$5,Data!$K$3)))</f>
        <v/>
      </c>
      <c r="L94" s="448" t="str">
        <f ca="1">IF(H94="","",IF(B94="","",IF(K94=Data!$K$2,"",IF(H94&lt;TODAY(),"!",""))))</f>
        <v/>
      </c>
    </row>
    <row r="95" spans="2:12" ht="27" customHeight="1">
      <c r="B95" s="515"/>
      <c r="C95" s="515"/>
      <c r="D95" s="510"/>
      <c r="E95" s="510"/>
      <c r="F95" s="432"/>
      <c r="G95" s="433"/>
      <c r="H95" s="433"/>
      <c r="I95" s="444">
        <f t="shared" si="3"/>
        <v>0</v>
      </c>
      <c r="J95" s="434"/>
      <c r="K95" s="446" t="str">
        <f>IF(B95="","",IF(J95=1,Data!$K$2,IF(J95=0,Data!$K$5,Data!$K$3)))</f>
        <v/>
      </c>
      <c r="L95" s="448" t="str">
        <f ca="1">IF(H95="","",IF(B95="","",IF(K95=Data!$K$2,"",IF(H95&lt;TODAY(),"!",""))))</f>
        <v/>
      </c>
    </row>
    <row r="96" spans="2:12" ht="27" customHeight="1">
      <c r="B96" s="515"/>
      <c r="C96" s="515"/>
      <c r="D96" s="510"/>
      <c r="E96" s="510"/>
      <c r="F96" s="432"/>
      <c r="G96" s="433"/>
      <c r="H96" s="433"/>
      <c r="I96" s="444">
        <f t="shared" si="3"/>
        <v>0</v>
      </c>
      <c r="J96" s="434"/>
      <c r="K96" s="446" t="str">
        <f>IF(B96="","",IF(J96=1,Data!$K$2,IF(J96=0,Data!$K$5,Data!$K$3)))</f>
        <v/>
      </c>
      <c r="L96" s="448" t="str">
        <f ca="1">IF(H96="","",IF(B96="","",IF(K96=Data!$K$2,"",IF(H96&lt;TODAY(),"!",""))))</f>
        <v/>
      </c>
    </row>
    <row r="97" spans="2:12" ht="27" customHeight="1">
      <c r="B97" s="515"/>
      <c r="C97" s="515"/>
      <c r="D97" s="510"/>
      <c r="E97" s="510"/>
      <c r="F97" s="432"/>
      <c r="G97" s="433"/>
      <c r="H97" s="433"/>
      <c r="I97" s="444">
        <f t="shared" si="3"/>
        <v>0</v>
      </c>
      <c r="J97" s="434"/>
      <c r="K97" s="446" t="str">
        <f>IF(B97="","",IF(J97=1,Data!$K$2,IF(J97=0,Data!$K$5,Data!$K$3)))</f>
        <v/>
      </c>
      <c r="L97" s="448" t="str">
        <f ca="1">IF(H97="","",IF(B97="","",IF(K97=Data!$K$2,"",IF(H97&lt;TODAY(),"!",""))))</f>
        <v/>
      </c>
    </row>
    <row r="98" spans="2:12" ht="27" customHeight="1">
      <c r="B98" s="515"/>
      <c r="C98" s="515"/>
      <c r="D98" s="510"/>
      <c r="E98" s="510"/>
      <c r="F98" s="432"/>
      <c r="G98" s="433"/>
      <c r="H98" s="433"/>
      <c r="I98" s="444">
        <f t="shared" si="3"/>
        <v>0</v>
      </c>
      <c r="J98" s="434"/>
      <c r="K98" s="446" t="str">
        <f>IF(B98="","",IF(J98=1,Data!$K$2,IF(J98=0,Data!$K$5,Data!$K$3)))</f>
        <v/>
      </c>
      <c r="L98" s="448" t="str">
        <f ca="1">IF(H98="","",IF(B98="","",IF(K98=Data!$K$2,"",IF(H98&lt;TODAY(),"!",""))))</f>
        <v/>
      </c>
    </row>
    <row r="99" spans="2:12" ht="27" customHeight="1">
      <c r="B99" s="515"/>
      <c r="C99" s="515"/>
      <c r="D99" s="510"/>
      <c r="E99" s="510"/>
      <c r="F99" s="432"/>
      <c r="G99" s="433"/>
      <c r="H99" s="433"/>
      <c r="I99" s="444">
        <f t="shared" si="3"/>
        <v>0</v>
      </c>
      <c r="J99" s="434"/>
      <c r="K99" s="446" t="str">
        <f>IF(B99="","",IF(J99=1,Data!$K$2,IF(J99=0,Data!$K$5,Data!$K$3)))</f>
        <v/>
      </c>
      <c r="L99" s="448" t="str">
        <f ca="1">IF(H99="","",IF(B99="","",IF(K99=Data!$K$2,"",IF(H99&lt;TODAY(),"!",""))))</f>
        <v/>
      </c>
    </row>
    <row r="100" spans="2:12" ht="27" customHeight="1">
      <c r="B100" s="515"/>
      <c r="C100" s="515"/>
      <c r="D100" s="510"/>
      <c r="E100" s="510"/>
      <c r="F100" s="432"/>
      <c r="G100" s="433"/>
      <c r="H100" s="433"/>
      <c r="I100" s="444">
        <f t="shared" si="3"/>
        <v>0</v>
      </c>
      <c r="J100" s="434"/>
      <c r="K100" s="446" t="str">
        <f>IF(B100="","",IF(J100=1,Data!$K$2,IF(J100=0,Data!$K$5,Data!$K$3)))</f>
        <v/>
      </c>
      <c r="L100" s="448" t="str">
        <f ca="1">IF(H100="","",IF(B100="","",IF(K100=Data!$K$2,"",IF(H100&lt;TODAY(),"!",""))))</f>
        <v/>
      </c>
    </row>
    <row r="101" spans="2:12" ht="27" customHeight="1">
      <c r="B101" s="515"/>
      <c r="C101" s="515"/>
      <c r="D101" s="510"/>
      <c r="E101" s="510"/>
      <c r="F101" s="432"/>
      <c r="G101" s="433"/>
      <c r="H101" s="433"/>
      <c r="I101" s="444">
        <f t="shared" si="3"/>
        <v>0</v>
      </c>
      <c r="J101" s="434"/>
      <c r="K101" s="446" t="str">
        <f>IF(B101="","",IF(J101=1,Data!$K$2,IF(J101=0,Data!$K$5,Data!$K$3)))</f>
        <v/>
      </c>
      <c r="L101" s="448" t="str">
        <f ca="1">IF(H101="","",IF(B101="","",IF(K101=Data!$K$2,"",IF(H101&lt;TODAY(),"!",""))))</f>
        <v/>
      </c>
    </row>
    <row r="102" spans="2:12" ht="27" customHeight="1">
      <c r="B102" s="515"/>
      <c r="C102" s="515"/>
      <c r="D102" s="510"/>
      <c r="E102" s="510"/>
      <c r="F102" s="432"/>
      <c r="G102" s="433"/>
      <c r="H102" s="433"/>
      <c r="I102" s="444">
        <f t="shared" si="3"/>
        <v>0</v>
      </c>
      <c r="J102" s="434"/>
      <c r="K102" s="446" t="str">
        <f>IF(B102="","",IF(J102=1,Data!$K$2,IF(J102=0,Data!$K$5,Data!$K$3)))</f>
        <v/>
      </c>
      <c r="L102" s="448" t="str">
        <f ca="1">IF(H102="","",IF(B102="","",IF(K102=Data!$K$2,"",IF(H102&lt;TODAY(),"!",""))))</f>
        <v/>
      </c>
    </row>
    <row r="103" spans="2:12" ht="27" customHeight="1">
      <c r="B103" s="515"/>
      <c r="C103" s="515"/>
      <c r="D103" s="510"/>
      <c r="E103" s="510"/>
      <c r="F103" s="432"/>
      <c r="G103" s="433"/>
      <c r="H103" s="433"/>
      <c r="I103" s="444">
        <f t="shared" si="3"/>
        <v>0</v>
      </c>
      <c r="J103" s="434"/>
      <c r="K103" s="446" t="str">
        <f>IF(B103="","",IF(J103=1,Data!$K$2,IF(J103=0,Data!$K$5,Data!$K$3)))</f>
        <v/>
      </c>
      <c r="L103" s="448" t="str">
        <f ca="1">IF(H103="","",IF(B103="","",IF(K103=Data!$K$2,"",IF(H103&lt;TODAY(),"!",""))))</f>
        <v/>
      </c>
    </row>
    <row r="104" spans="2:12" ht="27" customHeight="1">
      <c r="B104" s="515"/>
      <c r="C104" s="515"/>
      <c r="D104" s="510"/>
      <c r="E104" s="510"/>
      <c r="F104" s="432"/>
      <c r="G104" s="433"/>
      <c r="H104" s="433"/>
      <c r="I104" s="444">
        <f t="shared" si="3"/>
        <v>0</v>
      </c>
      <c r="J104" s="434"/>
      <c r="K104" s="446" t="str">
        <f>IF(B104="","",IF(J104=1,Data!$K$2,IF(J104=0,Data!$K$5,Data!$K$3)))</f>
        <v/>
      </c>
      <c r="L104" s="448" t="str">
        <f ca="1">IF(H104="","",IF(B104="","",IF(K104=Data!$K$2,"",IF(H104&lt;TODAY(),"!",""))))</f>
        <v/>
      </c>
    </row>
    <row r="105" spans="2:12" ht="27" customHeight="1">
      <c r="B105" s="515"/>
      <c r="C105" s="515"/>
      <c r="D105" s="510"/>
      <c r="E105" s="510"/>
      <c r="F105" s="432"/>
      <c r="G105" s="433"/>
      <c r="H105" s="433"/>
      <c r="I105" s="444">
        <f t="shared" si="3"/>
        <v>0</v>
      </c>
      <c r="J105" s="434"/>
      <c r="K105" s="446" t="str">
        <f>IF(B105="","",IF(J105=1,Data!$K$2,IF(J105=0,Data!$K$5,Data!$K$3)))</f>
        <v/>
      </c>
      <c r="L105" s="448" t="str">
        <f ca="1">IF(H105="","",IF(B105="","",IF(K105=Data!$K$2,"",IF(H105&lt;TODAY(),"!",""))))</f>
        <v/>
      </c>
    </row>
    <row r="106" spans="2:12" ht="27" customHeight="1">
      <c r="B106" s="515"/>
      <c r="C106" s="515"/>
      <c r="D106" s="510"/>
      <c r="E106" s="510"/>
      <c r="F106" s="432"/>
      <c r="G106" s="433"/>
      <c r="H106" s="433"/>
      <c r="I106" s="444">
        <f t="shared" si="3"/>
        <v>0</v>
      </c>
      <c r="J106" s="434"/>
      <c r="K106" s="446" t="str">
        <f>IF(B106="","",IF(J106=1,Data!$K$2,IF(J106=0,Data!$K$5,Data!$K$3)))</f>
        <v/>
      </c>
      <c r="L106" s="448" t="str">
        <f ca="1">IF(H106="","",IF(B106="","",IF(K106=Data!$K$2,"",IF(H106&lt;TODAY(),"!",""))))</f>
        <v/>
      </c>
    </row>
    <row r="107" spans="2:12" ht="27" customHeight="1">
      <c r="B107" s="515"/>
      <c r="C107" s="515"/>
      <c r="D107" s="510"/>
      <c r="E107" s="510"/>
      <c r="F107" s="432"/>
      <c r="G107" s="433"/>
      <c r="H107" s="433"/>
      <c r="I107" s="444">
        <f t="shared" si="3"/>
        <v>0</v>
      </c>
      <c r="J107" s="434"/>
      <c r="K107" s="446" t="str">
        <f>IF(B107="","",IF(J107=1,Data!$K$2,IF(J107=0,Data!$K$5,Data!$K$3)))</f>
        <v/>
      </c>
      <c r="L107" s="448" t="str">
        <f ca="1">IF(H107="","",IF(B107="","",IF(K107=Data!$K$2,"",IF(H107&lt;TODAY(),"!",""))))</f>
        <v/>
      </c>
    </row>
    <row r="108" spans="2:12" ht="27" customHeight="1">
      <c r="B108" s="515"/>
      <c r="C108" s="515"/>
      <c r="D108" s="510"/>
      <c r="E108" s="510"/>
      <c r="F108" s="432"/>
      <c r="G108" s="433"/>
      <c r="H108" s="433"/>
      <c r="I108" s="444">
        <f t="shared" si="3"/>
        <v>0</v>
      </c>
      <c r="J108" s="434"/>
      <c r="K108" s="446" t="str">
        <f>IF(B108="","",IF(J108=1,Data!$K$2,IF(J108=0,Data!$K$5,Data!$K$3)))</f>
        <v/>
      </c>
      <c r="L108" s="448" t="str">
        <f ca="1">IF(H108="","",IF(B108="","",IF(K108=Data!$K$2,"",IF(H108&lt;TODAY(),"!",""))))</f>
        <v/>
      </c>
    </row>
    <row r="109" spans="2:12" ht="27" customHeight="1">
      <c r="B109" s="515"/>
      <c r="C109" s="515"/>
      <c r="D109" s="510"/>
      <c r="E109" s="510"/>
      <c r="F109" s="432"/>
      <c r="G109" s="433"/>
      <c r="H109" s="433"/>
      <c r="I109" s="444">
        <f t="shared" si="3"/>
        <v>0</v>
      </c>
      <c r="J109" s="434"/>
      <c r="K109" s="446" t="str">
        <f>IF(B109="","",IF(J109=1,Data!$K$2,IF(J109=0,Data!$K$5,Data!$K$3)))</f>
        <v/>
      </c>
      <c r="L109" s="448" t="str">
        <f ca="1">IF(H109="","",IF(B109="","",IF(K109=Data!$K$2,"",IF(H109&lt;TODAY(),"!",""))))</f>
        <v/>
      </c>
    </row>
    <row r="110" spans="2:12" ht="27" customHeight="1">
      <c r="B110" s="515"/>
      <c r="C110" s="515"/>
      <c r="D110" s="510"/>
      <c r="E110" s="510"/>
      <c r="F110" s="432"/>
      <c r="G110" s="433"/>
      <c r="H110" s="433"/>
      <c r="I110" s="444">
        <f t="shared" si="3"/>
        <v>0</v>
      </c>
      <c r="J110" s="434"/>
      <c r="K110" s="446" t="str">
        <f>IF(B110="","",IF(J110=1,Data!$K$2,IF(J110=0,Data!$K$5,Data!$K$3)))</f>
        <v/>
      </c>
      <c r="L110" s="448" t="str">
        <f ca="1">IF(H110="","",IF(B110="","",IF(K110=Data!$K$2,"",IF(H110&lt;TODAY(),"!",""))))</f>
        <v/>
      </c>
    </row>
    <row r="111" spans="2:12" ht="27" customHeight="1">
      <c r="B111" s="515"/>
      <c r="C111" s="515"/>
      <c r="D111" s="510"/>
      <c r="E111" s="510"/>
      <c r="F111" s="435"/>
      <c r="G111" s="436"/>
      <c r="H111" s="436"/>
      <c r="I111" s="445">
        <f t="shared" si="3"/>
        <v>0</v>
      </c>
      <c r="J111" s="437"/>
      <c r="K111" s="446" t="str">
        <f>IF(B111="","",IF(J111=1,Data!$K$2,IF(J111=0,Data!$K$5,Data!$K$3)))</f>
        <v/>
      </c>
      <c r="L111" s="448" t="str">
        <f ca="1">IF(H111="","",IF(B111="","",IF(K111=Data!$K$2,"",IF(H111&lt;TODAY(),"!",""))))</f>
        <v/>
      </c>
    </row>
  </sheetData>
  <sheetProtection formatCells="0" formatColumns="0" formatRows="0" selectLockedCells="1" sort="0" autoFilter="0" pivotTables="0"/>
  <autoFilter ref="B11:L11" xr:uid="{1F71D77A-F1A5-4852-9FFE-DAD5CDAFC5E3}">
    <filterColumn colId="0" showButton="0"/>
    <filterColumn colId="2" showButton="0"/>
  </autoFilter>
  <mergeCells count="204">
    <mergeCell ref="B13:C13"/>
    <mergeCell ref="D13:E13"/>
    <mergeCell ref="B14:C14"/>
    <mergeCell ref="D14:E14"/>
    <mergeCell ref="B15:C15"/>
    <mergeCell ref="D15:E15"/>
    <mergeCell ref="B11:C11"/>
    <mergeCell ref="D11:E11"/>
    <mergeCell ref="B12:C12"/>
    <mergeCell ref="D12:E12"/>
    <mergeCell ref="B19:C19"/>
    <mergeCell ref="D19:E19"/>
    <mergeCell ref="B20:C20"/>
    <mergeCell ref="D20:E20"/>
    <mergeCell ref="B21:C21"/>
    <mergeCell ref="D21:E21"/>
    <mergeCell ref="B16:C16"/>
    <mergeCell ref="D16:E16"/>
    <mergeCell ref="B17:C17"/>
    <mergeCell ref="D17:E17"/>
    <mergeCell ref="B18:C18"/>
    <mergeCell ref="D18:E18"/>
    <mergeCell ref="B25:C25"/>
    <mergeCell ref="D25:E25"/>
    <mergeCell ref="B26:C26"/>
    <mergeCell ref="D26:E26"/>
    <mergeCell ref="B27:C27"/>
    <mergeCell ref="D27:E27"/>
    <mergeCell ref="B22:C22"/>
    <mergeCell ref="D22:E22"/>
    <mergeCell ref="B23:C23"/>
    <mergeCell ref="D23:E23"/>
    <mergeCell ref="B24:C24"/>
    <mergeCell ref="D24:E24"/>
    <mergeCell ref="B31:C31"/>
    <mergeCell ref="D31:E31"/>
    <mergeCell ref="B32:C32"/>
    <mergeCell ref="D32:E32"/>
    <mergeCell ref="B33:C33"/>
    <mergeCell ref="D33:E33"/>
    <mergeCell ref="B28:C28"/>
    <mergeCell ref="D28:E28"/>
    <mergeCell ref="B29:C29"/>
    <mergeCell ref="D29:E29"/>
    <mergeCell ref="B30:C30"/>
    <mergeCell ref="D30:E30"/>
    <mergeCell ref="B37:C37"/>
    <mergeCell ref="D37:E37"/>
    <mergeCell ref="B38:C38"/>
    <mergeCell ref="D38:E38"/>
    <mergeCell ref="B39:C39"/>
    <mergeCell ref="D39:E39"/>
    <mergeCell ref="B34:C34"/>
    <mergeCell ref="D34:E34"/>
    <mergeCell ref="B35:C35"/>
    <mergeCell ref="D35:E35"/>
    <mergeCell ref="B36:C36"/>
    <mergeCell ref="D36:E36"/>
    <mergeCell ref="B43:C43"/>
    <mergeCell ref="D43:E43"/>
    <mergeCell ref="B44:C44"/>
    <mergeCell ref="D44:E44"/>
    <mergeCell ref="B45:C45"/>
    <mergeCell ref="D45:E45"/>
    <mergeCell ref="B40:C40"/>
    <mergeCell ref="D40:E40"/>
    <mergeCell ref="B41:C41"/>
    <mergeCell ref="D41:E41"/>
    <mergeCell ref="B42:C42"/>
    <mergeCell ref="D42:E42"/>
    <mergeCell ref="B49:C49"/>
    <mergeCell ref="D49:E49"/>
    <mergeCell ref="B50:C50"/>
    <mergeCell ref="D50:E50"/>
    <mergeCell ref="B51:C51"/>
    <mergeCell ref="D51:E51"/>
    <mergeCell ref="B46:C46"/>
    <mergeCell ref="D46:E46"/>
    <mergeCell ref="B47:C47"/>
    <mergeCell ref="D47:E47"/>
    <mergeCell ref="B48:C48"/>
    <mergeCell ref="D48:E48"/>
    <mergeCell ref="B55:C55"/>
    <mergeCell ref="D55:E55"/>
    <mergeCell ref="B56:C56"/>
    <mergeCell ref="D56:E56"/>
    <mergeCell ref="B57:C57"/>
    <mergeCell ref="D57:E57"/>
    <mergeCell ref="B52:C52"/>
    <mergeCell ref="D52:E52"/>
    <mergeCell ref="B53:C53"/>
    <mergeCell ref="D53:E53"/>
    <mergeCell ref="B54:C54"/>
    <mergeCell ref="D54:E54"/>
    <mergeCell ref="B61:C61"/>
    <mergeCell ref="D61:E61"/>
    <mergeCell ref="B62:C62"/>
    <mergeCell ref="D62:E62"/>
    <mergeCell ref="B63:C63"/>
    <mergeCell ref="D63:E63"/>
    <mergeCell ref="B58:C58"/>
    <mergeCell ref="D58:E58"/>
    <mergeCell ref="B59:C59"/>
    <mergeCell ref="D59:E59"/>
    <mergeCell ref="B60:C60"/>
    <mergeCell ref="D60:E60"/>
    <mergeCell ref="B67:C67"/>
    <mergeCell ref="D67:E67"/>
    <mergeCell ref="B68:C68"/>
    <mergeCell ref="D68:E68"/>
    <mergeCell ref="B69:C69"/>
    <mergeCell ref="D69:E69"/>
    <mergeCell ref="B64:C64"/>
    <mergeCell ref="D64:E64"/>
    <mergeCell ref="B65:C65"/>
    <mergeCell ref="D65:E65"/>
    <mergeCell ref="B66:C66"/>
    <mergeCell ref="D66:E66"/>
    <mergeCell ref="B73:C73"/>
    <mergeCell ref="D73:E73"/>
    <mergeCell ref="B74:C74"/>
    <mergeCell ref="D74:E74"/>
    <mergeCell ref="B75:C75"/>
    <mergeCell ref="D75:E75"/>
    <mergeCell ref="B70:C70"/>
    <mergeCell ref="D70:E70"/>
    <mergeCell ref="B71:C71"/>
    <mergeCell ref="D71:E71"/>
    <mergeCell ref="B72:C72"/>
    <mergeCell ref="D72:E72"/>
    <mergeCell ref="B79:C79"/>
    <mergeCell ref="D79:E79"/>
    <mergeCell ref="B80:C80"/>
    <mergeCell ref="D80:E80"/>
    <mergeCell ref="B81:C81"/>
    <mergeCell ref="D81:E81"/>
    <mergeCell ref="B76:C76"/>
    <mergeCell ref="D76:E76"/>
    <mergeCell ref="B77:C77"/>
    <mergeCell ref="D77:E77"/>
    <mergeCell ref="B78:C78"/>
    <mergeCell ref="D78:E78"/>
    <mergeCell ref="B85:C85"/>
    <mergeCell ref="D85:E85"/>
    <mergeCell ref="B86:C86"/>
    <mergeCell ref="D86:E86"/>
    <mergeCell ref="B87:C87"/>
    <mergeCell ref="D87:E87"/>
    <mergeCell ref="B82:C82"/>
    <mergeCell ref="D82:E82"/>
    <mergeCell ref="B83:C83"/>
    <mergeCell ref="D83:E83"/>
    <mergeCell ref="B84:C84"/>
    <mergeCell ref="D84:E84"/>
    <mergeCell ref="B91:C91"/>
    <mergeCell ref="D91:E91"/>
    <mergeCell ref="B92:C92"/>
    <mergeCell ref="D92:E92"/>
    <mergeCell ref="B93:C93"/>
    <mergeCell ref="D93:E93"/>
    <mergeCell ref="B88:C88"/>
    <mergeCell ref="D88:E88"/>
    <mergeCell ref="B89:C89"/>
    <mergeCell ref="D89:E89"/>
    <mergeCell ref="B90:C90"/>
    <mergeCell ref="D90:E90"/>
    <mergeCell ref="B102:C102"/>
    <mergeCell ref="D102:E102"/>
    <mergeCell ref="B97:C97"/>
    <mergeCell ref="D97:E97"/>
    <mergeCell ref="B98:C98"/>
    <mergeCell ref="D98:E98"/>
    <mergeCell ref="B99:C99"/>
    <mergeCell ref="D99:E99"/>
    <mergeCell ref="B94:C94"/>
    <mergeCell ref="D94:E94"/>
    <mergeCell ref="B95:C95"/>
    <mergeCell ref="D95:E95"/>
    <mergeCell ref="B96:C96"/>
    <mergeCell ref="D96:E96"/>
    <mergeCell ref="K7:L7"/>
    <mergeCell ref="K8:L9"/>
    <mergeCell ref="B109:C109"/>
    <mergeCell ref="D109:E109"/>
    <mergeCell ref="B110:C110"/>
    <mergeCell ref="D110:E110"/>
    <mergeCell ref="B111:C111"/>
    <mergeCell ref="D111:E111"/>
    <mergeCell ref="B106:C106"/>
    <mergeCell ref="D106:E106"/>
    <mergeCell ref="B107:C107"/>
    <mergeCell ref="D107:E107"/>
    <mergeCell ref="B108:C108"/>
    <mergeCell ref="D108:E108"/>
    <mergeCell ref="B103:C103"/>
    <mergeCell ref="D103:E103"/>
    <mergeCell ref="B104:C104"/>
    <mergeCell ref="D104:E104"/>
    <mergeCell ref="B105:C105"/>
    <mergeCell ref="D105:E105"/>
    <mergeCell ref="B100:C100"/>
    <mergeCell ref="D100:E100"/>
    <mergeCell ref="B101:C101"/>
    <mergeCell ref="D101:E101"/>
  </mergeCells>
  <phoneticPr fontId="31" type="noConversion"/>
  <conditionalFormatting sqref="B10:G10">
    <cfRule type="expression" dxfId="192" priority="1">
      <formula>B$10=""</formula>
    </cfRule>
  </conditionalFormatting>
  <conditionalFormatting sqref="L12:L111">
    <cfRule type="expression" dxfId="188" priority="4">
      <formula>$L12="!"</formula>
    </cfRule>
  </conditionalFormatting>
  <dataValidations count="2">
    <dataValidation type="list" allowBlank="1" showInputMessage="1" showErrorMessage="1" sqref="F12:F111" xr:uid="{EFBCF1BC-E71E-4E85-9260-5C5E90E4C447}">
      <formula1>DRangeEmployee</formula1>
    </dataValidation>
    <dataValidation type="list" allowBlank="1" showInputMessage="1" showErrorMessage="1" sqref="D12:E111" xr:uid="{363B2DFD-4C3C-43FD-9787-7ABA2E9F7B21}">
      <formula1>ActionPlan05</formula1>
    </dataValidation>
  </dataValidations>
  <hyperlinks>
    <hyperlink ref="B10" location="'AP1'!A1" display="'AP1'!A1" xr:uid="{69121865-1C64-4312-8C8F-F9B194CF2B49}"/>
    <hyperlink ref="C10" location="'AP2'!A1" display="'AP2'!A1" xr:uid="{D1AC7C88-0824-4F9F-BF57-6A9D5D3021AB}"/>
    <hyperlink ref="D10" location="'AP3'!A1" display="'AP3'!A1" xr:uid="{A1A8D258-99F1-48C7-804D-3A2E301E5B53}"/>
    <hyperlink ref="E10" location="'AP4'!A1" display="'AP4'!A1" xr:uid="{3A796C11-5773-411F-B680-BAD15989A95C}"/>
    <hyperlink ref="F10" location="'AP5'!A1" display="'AP5'!A1" xr:uid="{3982D0E7-D1B9-49AB-9FD5-9C4D0B461384}"/>
    <hyperlink ref="G10" location="'AP6'!A1" display="'AP6'!A1" xr:uid="{E6F38EE7-3C9C-4E16-B299-EF5AEC5FA18C}"/>
  </hyperlinks>
  <pageMargins left="0.25" right="0.25" top="0.75" bottom="0.75" header="0.3" footer="0.3"/>
  <pageSetup scale="77"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id="{F010BF2C-4E46-410D-9DFD-00A30280A6AC}">
            <xm:f>$K12=Data!$K$5</xm:f>
            <x14:dxf>
              <font>
                <color theme="1" tint="0.24994659260841701"/>
              </font>
              <fill>
                <patternFill>
                  <bgColor theme="0" tint="-4.9989318521683403E-2"/>
                </patternFill>
              </fill>
            </x14:dxf>
          </x14:cfRule>
          <x14:cfRule type="expression" priority="7" id="{BF56EF29-1B16-4D7E-8B24-5086631E5BF1}">
            <xm:f>$K12=Data!$K$3</xm:f>
            <x14:dxf>
              <font>
                <color theme="0"/>
              </font>
              <fill>
                <patternFill>
                  <bgColor rgb="FFF2C80F"/>
                </patternFill>
              </fill>
            </x14:dxf>
          </x14:cfRule>
          <x14:cfRule type="expression" priority="8" id="{92FF5C36-BC42-4772-A052-0AB86867B872}">
            <xm:f>$K12=Data!$K$2</xm:f>
            <x14:dxf>
              <font>
                <color theme="0"/>
              </font>
              <fill>
                <patternFill>
                  <bgColor rgb="FF55B03E"/>
                </patternFill>
              </fill>
            </x14:dxf>
          </x14:cfRule>
          <xm:sqref>K12:K111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58155-42B9-498F-B5BE-DA11C1DE2898}">
  <dimension ref="A1:S111"/>
  <sheetViews>
    <sheetView showGridLines="0" showRowColHeaders="0" zoomScaleNormal="100" workbookViewId="0"/>
  </sheetViews>
  <sheetFormatPr baseColWidth="10" defaultColWidth="8.83203125" defaultRowHeight="15"/>
  <cols>
    <col min="1" max="1" width="2.6640625" style="290" customWidth="1"/>
    <col min="2" max="5" width="25.6640625" style="273" customWidth="1"/>
    <col min="6" max="6" width="30.6640625" style="273" customWidth="1"/>
    <col min="7" max="8" width="20.6640625" style="369" customWidth="1"/>
    <col min="9" max="9" width="16.6640625" style="369" hidden="1" customWidth="1"/>
    <col min="10" max="10" width="16.6640625" style="369" customWidth="1"/>
    <col min="11" max="11" width="14.6640625" style="369" customWidth="1"/>
    <col min="12" max="12" width="12.6640625" style="273" customWidth="1"/>
    <col min="13" max="16384" width="8.83203125" style="273"/>
  </cols>
  <sheetData>
    <row r="1" spans="1:19" s="249" customFormat="1" ht="39" customHeight="1">
      <c r="A1" s="248"/>
      <c r="B1" s="248"/>
      <c r="C1" s="248"/>
      <c r="D1" s="248"/>
      <c r="E1" s="248"/>
      <c r="F1" s="248"/>
      <c r="G1" s="248"/>
      <c r="H1" s="248"/>
      <c r="I1" s="248"/>
      <c r="J1" s="248"/>
      <c r="K1" s="248"/>
      <c r="L1" s="248"/>
      <c r="M1" s="248"/>
      <c r="N1" s="248"/>
      <c r="O1" s="248"/>
      <c r="P1" s="248"/>
      <c r="Q1" s="248"/>
      <c r="R1" s="248"/>
      <c r="S1" s="248"/>
    </row>
    <row r="2" spans="1:19" s="308" customFormat="1" ht="25" customHeight="1"/>
    <row r="3" spans="1:19" s="287" customFormat="1" ht="18" customHeight="1"/>
    <row r="4" spans="1:19" s="287" customFormat="1" ht="18" customHeight="1"/>
    <row r="5" spans="1:19" s="287" customFormat="1" ht="20" customHeight="1"/>
    <row r="6" spans="1:19" s="281" customFormat="1" ht="20" customHeight="1">
      <c r="A6" s="355"/>
      <c r="G6" s="278"/>
      <c r="H6" s="278"/>
      <c r="I6" s="278"/>
      <c r="J6" s="278"/>
      <c r="K6" s="278"/>
    </row>
    <row r="7" spans="1:19" s="281" customFormat="1" ht="20" customHeight="1">
      <c r="A7" s="355"/>
      <c r="B7" s="303" t="str">
        <f>Lan!F62&amp;" - "&amp;Goals!C17</f>
        <v>2.5. Plan de acción - Desarrollar y fidelizar al talento humano de la empresa.</v>
      </c>
      <c r="C7" s="359"/>
      <c r="D7" s="359"/>
      <c r="E7" s="359"/>
      <c r="F7" s="359"/>
      <c r="G7" s="370"/>
      <c r="H7" s="370"/>
      <c r="I7" s="370"/>
      <c r="J7" s="370"/>
      <c r="K7" s="509" t="str">
        <f>Lan!F69</f>
        <v>% Progreso</v>
      </c>
      <c r="L7" s="509"/>
    </row>
    <row r="8" spans="1:19" s="281" customFormat="1" ht="20" customHeight="1">
      <c r="A8" s="355"/>
      <c r="B8" s="320" t="str">
        <f>Lan!F44</f>
        <v>Los objetivos proporcionan hitos específicos con un cronograma específico para lograr una meta.</v>
      </c>
      <c r="C8" s="362"/>
      <c r="D8" s="362"/>
      <c r="E8" s="362"/>
      <c r="F8" s="371"/>
      <c r="G8" s="370"/>
      <c r="H8" s="370"/>
      <c r="I8" s="372"/>
      <c r="J8" s="370"/>
      <c r="K8" s="507">
        <f>IFERROR(AVERAGE(J12:J111),0)</f>
        <v>0.5</v>
      </c>
      <c r="L8" s="508"/>
    </row>
    <row r="9" spans="1:19" s="281" customFormat="1" ht="20" customHeight="1" thickBot="1">
      <c r="A9" s="355"/>
      <c r="B9" s="371"/>
      <c r="C9" s="371"/>
      <c r="D9" s="371"/>
      <c r="E9" s="371"/>
      <c r="F9" s="371"/>
      <c r="G9" s="370"/>
      <c r="H9" s="370"/>
      <c r="I9" s="370"/>
      <c r="J9" s="370"/>
      <c r="K9" s="508"/>
      <c r="L9" s="508"/>
    </row>
    <row r="10" spans="1:19" s="281" customFormat="1" ht="20" customHeight="1" thickTop="1" thickBot="1">
      <c r="A10" s="355"/>
      <c r="B10" s="419" t="str">
        <f>IF(Goals!C12="","",Goals!B12)</f>
        <v>Meta 1</v>
      </c>
      <c r="C10" s="419" t="str">
        <f>IF(Goals!C13="","",Goals!B13)</f>
        <v>Meta 2</v>
      </c>
      <c r="D10" s="419" t="str">
        <f>IF(Goals!C14="","",Goals!B14)</f>
        <v>Meta 3</v>
      </c>
      <c r="E10" s="419" t="str">
        <f>IF(Goals!C15="","",Goals!B15)</f>
        <v>Meta 4</v>
      </c>
      <c r="F10" s="419" t="str">
        <f>IF(Goals!C16="","",Goals!B16)</f>
        <v>Meta 5</v>
      </c>
      <c r="G10" s="420" t="str">
        <f>IF(Goals!C17="","",Goals!B17)</f>
        <v>Meta 6</v>
      </c>
      <c r="H10" s="450"/>
      <c r="I10" s="53"/>
      <c r="J10" s="370"/>
      <c r="K10" s="370"/>
      <c r="L10" s="371"/>
    </row>
    <row r="11" spans="1:19" s="281" customFormat="1" ht="30" customHeight="1" thickTop="1" thickBot="1">
      <c r="A11" s="355"/>
      <c r="B11" s="513" t="str">
        <f>Lan!$F$63</f>
        <v>Paso de acción</v>
      </c>
      <c r="C11" s="513"/>
      <c r="D11" s="513" t="str">
        <f>Lan!$F$64</f>
        <v>Objetivo asociado</v>
      </c>
      <c r="E11" s="513"/>
      <c r="F11" s="283" t="str">
        <f>Lan!$F$65</f>
        <v>Gerentes</v>
      </c>
      <c r="G11" s="283" t="str">
        <f>Lan!$F$67</f>
        <v>Fecha de inicio</v>
      </c>
      <c r="H11" s="283" t="str">
        <f>Lan!$F$68</f>
        <v>Fecha de vencimiento</v>
      </c>
      <c r="I11" s="376" t="str">
        <f>Lan!F75</f>
        <v>Hora de completar una tarea</v>
      </c>
      <c r="J11" s="376" t="str">
        <f>Lan!$F$69</f>
        <v>% Progreso</v>
      </c>
      <c r="K11" s="376" t="str">
        <f>Lan!$F$70</f>
        <v>Status</v>
      </c>
      <c r="L11" s="376" t="str">
        <f>Data!K4</f>
        <v>Atrasado</v>
      </c>
    </row>
    <row r="12" spans="1:19" s="281" customFormat="1" ht="27" customHeight="1">
      <c r="A12" s="355"/>
      <c r="B12" s="510" t="s">
        <v>308</v>
      </c>
      <c r="C12" s="510"/>
      <c r="D12" s="510" t="s">
        <v>321</v>
      </c>
      <c r="E12" s="510"/>
      <c r="F12" s="218" t="s">
        <v>306</v>
      </c>
      <c r="G12" s="426">
        <v>44253</v>
      </c>
      <c r="H12" s="426">
        <v>44254</v>
      </c>
      <c r="I12" s="443">
        <f>IFERROR(H12-G12,0)</f>
        <v>1</v>
      </c>
      <c r="J12" s="428">
        <v>1</v>
      </c>
      <c r="K12" s="446" t="str">
        <f>IF(B12="","",IF(J12=1,Data!$K$2,IF(J12=0,Data!$K$5,Data!$K$3)))</f>
        <v>Concluido</v>
      </c>
      <c r="L12" s="447" t="str">
        <f ca="1">IF(H12="","",IF(B12="","",IF(K12=Data!$K$2,"",IF(H12&lt;TODAY(),"!",""))))</f>
        <v/>
      </c>
    </row>
    <row r="13" spans="1:19" s="281" customFormat="1" ht="27" customHeight="1">
      <c r="A13" s="355"/>
      <c r="B13" s="510" t="s">
        <v>309</v>
      </c>
      <c r="C13" s="510"/>
      <c r="D13" s="510" t="s">
        <v>318</v>
      </c>
      <c r="E13" s="510"/>
      <c r="F13" s="218" t="s">
        <v>307</v>
      </c>
      <c r="G13" s="426">
        <v>44254</v>
      </c>
      <c r="H13" s="426">
        <v>44255</v>
      </c>
      <c r="I13" s="443">
        <f>IFERROR(H13-G13,0)</f>
        <v>1</v>
      </c>
      <c r="J13" s="429">
        <v>0</v>
      </c>
      <c r="K13" s="446" t="str">
        <f>IF(B13="","",IF(J13=1,Data!$K$2,IF(J13=0,Data!$K$5,Data!$K$3)))</f>
        <v>No iniciado</v>
      </c>
      <c r="L13" s="448" t="str">
        <f ca="1">IF(H13="","",IF(B13="","",IF(K13=Data!$K$2,"",IF(H13&lt;TODAY(),"!",""))))</f>
        <v>!</v>
      </c>
    </row>
    <row r="14" spans="1:19" s="281" customFormat="1" ht="27" customHeight="1">
      <c r="A14" s="355"/>
      <c r="B14" s="510"/>
      <c r="C14" s="510"/>
      <c r="D14" s="510"/>
      <c r="E14" s="510"/>
      <c r="F14" s="218"/>
      <c r="G14" s="426"/>
      <c r="H14" s="426"/>
      <c r="I14" s="443">
        <f t="shared" ref="I14:I18" si="0">IFERROR(H14-G14,0)</f>
        <v>0</v>
      </c>
      <c r="J14" s="429"/>
      <c r="K14" s="446" t="str">
        <f>IF(B14="","",IF(J14=1,Data!$K$2,IF(J14=0,Data!$K$5,Data!$K$3)))</f>
        <v/>
      </c>
      <c r="L14" s="448" t="str">
        <f ca="1">IF(H14="","",IF(B14="","",IF(K14=Data!$K$2,"",IF(H14&lt;TODAY(),"!",""))))</f>
        <v/>
      </c>
    </row>
    <row r="15" spans="1:19" s="281" customFormat="1" ht="27" customHeight="1">
      <c r="A15" s="355"/>
      <c r="B15" s="510"/>
      <c r="C15" s="510"/>
      <c r="D15" s="510"/>
      <c r="E15" s="510"/>
      <c r="F15" s="218"/>
      <c r="G15" s="426"/>
      <c r="H15" s="426"/>
      <c r="I15" s="443">
        <f t="shared" si="0"/>
        <v>0</v>
      </c>
      <c r="J15" s="429"/>
      <c r="K15" s="446" t="str">
        <f>IF(B15="","",IF(J15=1,Data!$K$2,IF(J15=0,Data!$K$5,Data!$K$3)))</f>
        <v/>
      </c>
      <c r="L15" s="448" t="str">
        <f ca="1">IF(H15="","",IF(B15="","",IF(K15=Data!$K$2,"",IF(H15&lt;TODAY(),"!",""))))</f>
        <v/>
      </c>
    </row>
    <row r="16" spans="1:19" s="281" customFormat="1" ht="27" customHeight="1">
      <c r="A16" s="355"/>
      <c r="B16" s="510"/>
      <c r="C16" s="510"/>
      <c r="D16" s="510"/>
      <c r="E16" s="510"/>
      <c r="F16" s="218"/>
      <c r="G16" s="426"/>
      <c r="H16" s="426"/>
      <c r="I16" s="443">
        <f t="shared" si="0"/>
        <v>0</v>
      </c>
      <c r="J16" s="429"/>
      <c r="K16" s="446" t="str">
        <f>IF(B16="","",IF(J16=1,Data!$K$2,IF(J16=0,Data!$K$5,Data!$K$3)))</f>
        <v/>
      </c>
      <c r="L16" s="448" t="str">
        <f ca="1">IF(H16="","",IF(B16="","",IF(K16=Data!$K$2,"",IF(H16&lt;TODAY(),"!",""))))</f>
        <v/>
      </c>
    </row>
    <row r="17" spans="1:12" s="281" customFormat="1" ht="27" customHeight="1">
      <c r="A17" s="355"/>
      <c r="B17" s="510"/>
      <c r="C17" s="510"/>
      <c r="D17" s="510"/>
      <c r="E17" s="510"/>
      <c r="F17" s="218"/>
      <c r="G17" s="426"/>
      <c r="H17" s="426"/>
      <c r="I17" s="443">
        <f t="shared" si="0"/>
        <v>0</v>
      </c>
      <c r="J17" s="429"/>
      <c r="K17" s="446" t="str">
        <f>IF(B17="","",IF(J17=1,Data!$K$2,IF(J17=0,Data!$K$5,Data!$K$3)))</f>
        <v/>
      </c>
      <c r="L17" s="448" t="str">
        <f ca="1">IF(H17="","",IF(B17="","",IF(K17=Data!$K$2,"",IF(H17&lt;TODAY(),"!",""))))</f>
        <v/>
      </c>
    </row>
    <row r="18" spans="1:12" s="281" customFormat="1" ht="27" customHeight="1">
      <c r="A18" s="355"/>
      <c r="B18" s="510"/>
      <c r="C18" s="510"/>
      <c r="D18" s="510"/>
      <c r="E18" s="510"/>
      <c r="F18" s="218"/>
      <c r="G18" s="426"/>
      <c r="H18" s="426"/>
      <c r="I18" s="443">
        <f t="shared" si="0"/>
        <v>0</v>
      </c>
      <c r="J18" s="429"/>
      <c r="K18" s="446" t="str">
        <f>IF(B18="","",IF(J18=1,Data!$K$2,IF(J18=0,Data!$K$5,Data!$K$3)))</f>
        <v/>
      </c>
      <c r="L18" s="448" t="str">
        <f ca="1">IF(H18="","",IF(B18="","",IF(K18=Data!$K$2,"",IF(H18&lt;TODAY(),"!",""))))</f>
        <v/>
      </c>
    </row>
    <row r="19" spans="1:12" s="281" customFormat="1" ht="27" customHeight="1">
      <c r="A19" s="355"/>
      <c r="B19" s="510"/>
      <c r="C19" s="510"/>
      <c r="D19" s="510"/>
      <c r="E19" s="510"/>
      <c r="F19" s="219"/>
      <c r="G19" s="426"/>
      <c r="H19" s="426"/>
      <c r="I19" s="443">
        <f t="shared" ref="I19" si="1">IFERROR(H19-G19,0)</f>
        <v>0</v>
      </c>
      <c r="J19" s="429"/>
      <c r="K19" s="446" t="str">
        <f>IF(B19="","",IF(J19=1,Data!$K$2,IF(J19=0,Data!$K$5,Data!$K$3)))</f>
        <v/>
      </c>
      <c r="L19" s="448" t="str">
        <f ca="1">IF(H19="","",IF(B19="","",IF(K19=Data!$K$2,"",IF(H19&lt;TODAY(),"!",""))))</f>
        <v/>
      </c>
    </row>
    <row r="20" spans="1:12" s="281" customFormat="1" ht="27" customHeight="1">
      <c r="A20" s="355"/>
      <c r="B20" s="515"/>
      <c r="C20" s="515"/>
      <c r="D20" s="510"/>
      <c r="E20" s="510"/>
      <c r="F20" s="430"/>
      <c r="G20" s="427"/>
      <c r="H20" s="427"/>
      <c r="I20" s="443">
        <f t="shared" ref="I20:I76" si="2">IFERROR(H20-G20,0)</f>
        <v>0</v>
      </c>
      <c r="J20" s="429"/>
      <c r="K20" s="446" t="str">
        <f>IF(B20="","",IF(J20=1,Data!$K$2,IF(J20=0,Data!$K$5,Data!$K$3)))</f>
        <v/>
      </c>
      <c r="L20" s="448" t="str">
        <f ca="1">IF(H20="","",IF(B20="","",IF(K20=Data!$K$2,"",IF(H20&lt;TODAY(),"!",""))))</f>
        <v/>
      </c>
    </row>
    <row r="21" spans="1:12" s="281" customFormat="1" ht="27" customHeight="1">
      <c r="A21" s="355"/>
      <c r="B21" s="515"/>
      <c r="C21" s="515"/>
      <c r="D21" s="510"/>
      <c r="E21" s="510"/>
      <c r="F21" s="430"/>
      <c r="G21" s="427"/>
      <c r="H21" s="427"/>
      <c r="I21" s="443">
        <f t="shared" si="2"/>
        <v>0</v>
      </c>
      <c r="J21" s="429"/>
      <c r="K21" s="446" t="str">
        <f>IF(B21="","",IF(J21=1,Data!$K$2,IF(J21=0,Data!$K$5,Data!$K$3)))</f>
        <v/>
      </c>
      <c r="L21" s="448" t="str">
        <f ca="1">IF(H21="","",IF(B21="","",IF(K21=Data!$K$2,"",IF(H21&lt;TODAY(),"!",""))))</f>
        <v/>
      </c>
    </row>
    <row r="22" spans="1:12" s="281" customFormat="1" ht="27" customHeight="1">
      <c r="A22" s="355"/>
      <c r="B22" s="515"/>
      <c r="C22" s="515"/>
      <c r="D22" s="510"/>
      <c r="E22" s="510"/>
      <c r="F22" s="430"/>
      <c r="G22" s="427"/>
      <c r="H22" s="427"/>
      <c r="I22" s="443">
        <f t="shared" si="2"/>
        <v>0</v>
      </c>
      <c r="J22" s="429"/>
      <c r="K22" s="446" t="str">
        <f>IF(B22="","",IF(J22=1,Data!$K$2,IF(J22=0,Data!$K$5,Data!$K$3)))</f>
        <v/>
      </c>
      <c r="L22" s="448" t="str">
        <f ca="1">IF(H22="","",IF(B22="","",IF(K22=Data!$K$2,"",IF(H22&lt;TODAY(),"!",""))))</f>
        <v/>
      </c>
    </row>
    <row r="23" spans="1:12" s="281" customFormat="1" ht="27" customHeight="1">
      <c r="A23" s="355"/>
      <c r="B23" s="515"/>
      <c r="C23" s="515"/>
      <c r="D23" s="510"/>
      <c r="E23" s="510"/>
      <c r="F23" s="430"/>
      <c r="G23" s="427"/>
      <c r="H23" s="427"/>
      <c r="I23" s="443">
        <f t="shared" si="2"/>
        <v>0</v>
      </c>
      <c r="J23" s="429"/>
      <c r="K23" s="446" t="str">
        <f>IF(B23="","",IF(J23=1,Data!$K$2,IF(J23=0,Data!$K$5,Data!$K$3)))</f>
        <v/>
      </c>
      <c r="L23" s="448" t="str">
        <f ca="1">IF(H23="","",IF(B23="","",IF(K23=Data!$K$2,"",IF(H23&lt;TODAY(),"!",""))))</f>
        <v/>
      </c>
    </row>
    <row r="24" spans="1:12" s="281" customFormat="1" ht="27" customHeight="1">
      <c r="A24" s="355"/>
      <c r="B24" s="515"/>
      <c r="C24" s="515"/>
      <c r="D24" s="510"/>
      <c r="E24" s="510"/>
      <c r="F24" s="430"/>
      <c r="G24" s="427"/>
      <c r="H24" s="427"/>
      <c r="I24" s="443">
        <f t="shared" si="2"/>
        <v>0</v>
      </c>
      <c r="J24" s="429"/>
      <c r="K24" s="446" t="str">
        <f>IF(B24="","",IF(J24=1,Data!$K$2,IF(J24=0,Data!$K$5,Data!$K$3)))</f>
        <v/>
      </c>
      <c r="L24" s="448" t="str">
        <f ca="1">IF(H24="","",IF(B24="","",IF(K24=Data!$K$2,"",IF(H24&lt;TODAY(),"!",""))))</f>
        <v/>
      </c>
    </row>
    <row r="25" spans="1:12" s="281" customFormat="1" ht="27" customHeight="1">
      <c r="A25" s="355"/>
      <c r="B25" s="515"/>
      <c r="C25" s="515"/>
      <c r="D25" s="510"/>
      <c r="E25" s="510"/>
      <c r="F25" s="430"/>
      <c r="G25" s="427"/>
      <c r="H25" s="427"/>
      <c r="I25" s="443">
        <f t="shared" si="2"/>
        <v>0</v>
      </c>
      <c r="J25" s="429"/>
      <c r="K25" s="446" t="str">
        <f>IF(B25="","",IF(J25=1,Data!$K$2,IF(J25=0,Data!$K$5,Data!$K$3)))</f>
        <v/>
      </c>
      <c r="L25" s="448" t="str">
        <f ca="1">IF(H25="","",IF(B25="","",IF(K25=Data!$K$2,"",IF(H25&lt;TODAY(),"!",""))))</f>
        <v/>
      </c>
    </row>
    <row r="26" spans="1:12" s="281" customFormat="1" ht="27" customHeight="1">
      <c r="A26" s="355"/>
      <c r="B26" s="515"/>
      <c r="C26" s="515"/>
      <c r="D26" s="510"/>
      <c r="E26" s="510"/>
      <c r="F26" s="430"/>
      <c r="G26" s="427"/>
      <c r="H26" s="427"/>
      <c r="I26" s="443">
        <f t="shared" si="2"/>
        <v>0</v>
      </c>
      <c r="J26" s="429"/>
      <c r="K26" s="446" t="str">
        <f>IF(B26="","",IF(J26=1,Data!$K$2,IF(J26=0,Data!$K$5,Data!$K$3)))</f>
        <v/>
      </c>
      <c r="L26" s="448" t="str">
        <f ca="1">IF(H26="","",IF(B26="","",IF(K26=Data!$K$2,"",IF(H26&lt;TODAY(),"!",""))))</f>
        <v/>
      </c>
    </row>
    <row r="27" spans="1:12" s="281" customFormat="1" ht="27" customHeight="1">
      <c r="A27" s="355"/>
      <c r="B27" s="515"/>
      <c r="C27" s="515"/>
      <c r="D27" s="510"/>
      <c r="E27" s="510"/>
      <c r="F27" s="430"/>
      <c r="G27" s="427"/>
      <c r="H27" s="427"/>
      <c r="I27" s="443">
        <f t="shared" si="2"/>
        <v>0</v>
      </c>
      <c r="J27" s="429"/>
      <c r="K27" s="446" t="str">
        <f>IF(B27="","",IF(J27=1,Data!$K$2,IF(J27=0,Data!$K$5,Data!$K$3)))</f>
        <v/>
      </c>
      <c r="L27" s="448" t="str">
        <f ca="1">IF(H27="","",IF(B27="","",IF(K27=Data!$K$2,"",IF(H27&lt;TODAY(),"!",""))))</f>
        <v/>
      </c>
    </row>
    <row r="28" spans="1:12" s="281" customFormat="1" ht="27" customHeight="1">
      <c r="A28" s="355"/>
      <c r="B28" s="515"/>
      <c r="C28" s="515"/>
      <c r="D28" s="510"/>
      <c r="E28" s="510"/>
      <c r="F28" s="430"/>
      <c r="G28" s="427"/>
      <c r="H28" s="427"/>
      <c r="I28" s="443">
        <f t="shared" si="2"/>
        <v>0</v>
      </c>
      <c r="J28" s="429"/>
      <c r="K28" s="446" t="str">
        <f>IF(B28="","",IF(J28=1,Data!$K$2,IF(J28=0,Data!$K$5,Data!$K$3)))</f>
        <v/>
      </c>
      <c r="L28" s="448" t="str">
        <f ca="1">IF(H28="","",IF(B28="","",IF(K28=Data!$K$2,"",IF(H28&lt;TODAY(),"!",""))))</f>
        <v/>
      </c>
    </row>
    <row r="29" spans="1:12" s="281" customFormat="1" ht="27" customHeight="1">
      <c r="A29" s="355"/>
      <c r="B29" s="515"/>
      <c r="C29" s="515"/>
      <c r="D29" s="510"/>
      <c r="E29" s="510"/>
      <c r="F29" s="430"/>
      <c r="G29" s="427"/>
      <c r="H29" s="427"/>
      <c r="I29" s="443">
        <f t="shared" si="2"/>
        <v>0</v>
      </c>
      <c r="J29" s="429"/>
      <c r="K29" s="446" t="str">
        <f>IF(B29="","",IF(J29=1,Data!$K$2,IF(J29=0,Data!$K$5,Data!$K$3)))</f>
        <v/>
      </c>
      <c r="L29" s="448" t="str">
        <f ca="1">IF(H29="","",IF(B29="","",IF(K29=Data!$K$2,"",IF(H29&lt;TODAY(),"!",""))))</f>
        <v/>
      </c>
    </row>
    <row r="30" spans="1:12" s="281" customFormat="1" ht="27" customHeight="1">
      <c r="A30" s="355"/>
      <c r="B30" s="515"/>
      <c r="C30" s="515"/>
      <c r="D30" s="510"/>
      <c r="E30" s="510"/>
      <c r="F30" s="430"/>
      <c r="G30" s="427"/>
      <c r="H30" s="427"/>
      <c r="I30" s="443">
        <f t="shared" si="2"/>
        <v>0</v>
      </c>
      <c r="J30" s="429"/>
      <c r="K30" s="446" t="str">
        <f>IF(B30="","",IF(J30=1,Data!$K$2,IF(J30=0,Data!$K$5,Data!$K$3)))</f>
        <v/>
      </c>
      <c r="L30" s="448" t="str">
        <f ca="1">IF(H30="","",IF(B30="","",IF(K30=Data!$K$2,"",IF(H30&lt;TODAY(),"!",""))))</f>
        <v/>
      </c>
    </row>
    <row r="31" spans="1:12" s="281" customFormat="1" ht="27" customHeight="1">
      <c r="A31" s="355"/>
      <c r="B31" s="515"/>
      <c r="C31" s="515"/>
      <c r="D31" s="510"/>
      <c r="E31" s="510"/>
      <c r="F31" s="430"/>
      <c r="G31" s="427"/>
      <c r="H31" s="427"/>
      <c r="I31" s="443">
        <f t="shared" si="2"/>
        <v>0</v>
      </c>
      <c r="J31" s="429"/>
      <c r="K31" s="446" t="str">
        <f>IF(B31="","",IF(J31=1,Data!$K$2,IF(J31=0,Data!$K$5,Data!$K$3)))</f>
        <v/>
      </c>
      <c r="L31" s="448" t="str">
        <f ca="1">IF(H31="","",IF(B31="","",IF(K31=Data!$K$2,"",IF(H31&lt;TODAY(),"!",""))))</f>
        <v/>
      </c>
    </row>
    <row r="32" spans="1:12" s="281" customFormat="1" ht="27" customHeight="1">
      <c r="A32" s="355"/>
      <c r="B32" s="515"/>
      <c r="C32" s="515"/>
      <c r="D32" s="510"/>
      <c r="E32" s="510"/>
      <c r="F32" s="430"/>
      <c r="G32" s="427"/>
      <c r="H32" s="427"/>
      <c r="I32" s="443">
        <f t="shared" si="2"/>
        <v>0</v>
      </c>
      <c r="J32" s="429"/>
      <c r="K32" s="446" t="str">
        <f>IF(B32="","",IF(J32=1,Data!$K$2,IF(J32=0,Data!$K$5,Data!$K$3)))</f>
        <v/>
      </c>
      <c r="L32" s="448" t="str">
        <f ca="1">IF(H32="","",IF(B32="","",IF(K32=Data!$K$2,"",IF(H32&lt;TODAY(),"!",""))))</f>
        <v/>
      </c>
    </row>
    <row r="33" spans="1:12" s="281" customFormat="1" ht="27" customHeight="1">
      <c r="A33" s="355"/>
      <c r="B33" s="515"/>
      <c r="C33" s="515"/>
      <c r="D33" s="510"/>
      <c r="E33" s="510"/>
      <c r="F33" s="430"/>
      <c r="G33" s="427"/>
      <c r="H33" s="427"/>
      <c r="I33" s="443">
        <f t="shared" si="2"/>
        <v>0</v>
      </c>
      <c r="J33" s="429"/>
      <c r="K33" s="446" t="str">
        <f>IF(B33="","",IF(J33=1,Data!$K$2,IF(J33=0,Data!$K$5,Data!$K$3)))</f>
        <v/>
      </c>
      <c r="L33" s="448" t="str">
        <f ca="1">IF(H33="","",IF(B33="","",IF(K33=Data!$K$2,"",IF(H33&lt;TODAY(),"!",""))))</f>
        <v/>
      </c>
    </row>
    <row r="34" spans="1:12" s="281" customFormat="1" ht="27" customHeight="1">
      <c r="A34" s="355"/>
      <c r="B34" s="515"/>
      <c r="C34" s="515"/>
      <c r="D34" s="510"/>
      <c r="E34" s="510"/>
      <c r="F34" s="430"/>
      <c r="G34" s="427"/>
      <c r="H34" s="427"/>
      <c r="I34" s="443">
        <f t="shared" si="2"/>
        <v>0</v>
      </c>
      <c r="J34" s="429"/>
      <c r="K34" s="446" t="str">
        <f>IF(B34="","",IF(J34=1,Data!$K$2,IF(J34=0,Data!$K$5,Data!$K$3)))</f>
        <v/>
      </c>
      <c r="L34" s="448" t="str">
        <f ca="1">IF(H34="","",IF(B34="","",IF(K34=Data!$K$2,"",IF(H34&lt;TODAY(),"!",""))))</f>
        <v/>
      </c>
    </row>
    <row r="35" spans="1:12" s="281" customFormat="1" ht="27" customHeight="1">
      <c r="A35" s="355"/>
      <c r="B35" s="515"/>
      <c r="C35" s="515"/>
      <c r="D35" s="510"/>
      <c r="E35" s="510"/>
      <c r="F35" s="430"/>
      <c r="G35" s="427"/>
      <c r="H35" s="427"/>
      <c r="I35" s="443">
        <f t="shared" si="2"/>
        <v>0</v>
      </c>
      <c r="J35" s="429"/>
      <c r="K35" s="446" t="str">
        <f>IF(B35="","",IF(J35=1,Data!$K$2,IF(J35=0,Data!$K$5,Data!$K$3)))</f>
        <v/>
      </c>
      <c r="L35" s="448" t="str">
        <f ca="1">IF(H35="","",IF(B35="","",IF(K35=Data!$K$2,"",IF(H35&lt;TODAY(),"!",""))))</f>
        <v/>
      </c>
    </row>
    <row r="36" spans="1:12" s="281" customFormat="1" ht="27" customHeight="1">
      <c r="A36" s="355"/>
      <c r="B36" s="515"/>
      <c r="C36" s="515"/>
      <c r="D36" s="510"/>
      <c r="E36" s="510"/>
      <c r="F36" s="430"/>
      <c r="G36" s="427"/>
      <c r="H36" s="427"/>
      <c r="I36" s="443">
        <f t="shared" si="2"/>
        <v>0</v>
      </c>
      <c r="J36" s="429"/>
      <c r="K36" s="446" t="str">
        <f>IF(B36="","",IF(J36=1,Data!$K$2,IF(J36=0,Data!$K$5,Data!$K$3)))</f>
        <v/>
      </c>
      <c r="L36" s="448" t="str">
        <f ca="1">IF(H36="","",IF(B36="","",IF(K36=Data!$K$2,"",IF(H36&lt;TODAY(),"!",""))))</f>
        <v/>
      </c>
    </row>
    <row r="37" spans="1:12" s="281" customFormat="1" ht="27" customHeight="1">
      <c r="A37" s="355"/>
      <c r="B37" s="515"/>
      <c r="C37" s="515"/>
      <c r="D37" s="510"/>
      <c r="E37" s="510"/>
      <c r="F37" s="430"/>
      <c r="G37" s="427"/>
      <c r="H37" s="427"/>
      <c r="I37" s="443">
        <f t="shared" si="2"/>
        <v>0</v>
      </c>
      <c r="J37" s="429"/>
      <c r="K37" s="446" t="str">
        <f>IF(B37="","",IF(J37=1,Data!$K$2,IF(J37=0,Data!$K$5,Data!$K$3)))</f>
        <v/>
      </c>
      <c r="L37" s="448" t="str">
        <f ca="1">IF(H37="","",IF(B37="","",IF(K37=Data!$K$2,"",IF(H37&lt;TODAY(),"!",""))))</f>
        <v/>
      </c>
    </row>
    <row r="38" spans="1:12" s="281" customFormat="1" ht="27" customHeight="1">
      <c r="A38" s="355"/>
      <c r="B38" s="515"/>
      <c r="C38" s="515"/>
      <c r="D38" s="510"/>
      <c r="E38" s="510"/>
      <c r="F38" s="430"/>
      <c r="G38" s="427"/>
      <c r="H38" s="427"/>
      <c r="I38" s="443">
        <f t="shared" si="2"/>
        <v>0</v>
      </c>
      <c r="J38" s="429"/>
      <c r="K38" s="446" t="str">
        <f>IF(B38="","",IF(J38=1,Data!$K$2,IF(J38=0,Data!$K$5,Data!$K$3)))</f>
        <v/>
      </c>
      <c r="L38" s="448" t="str">
        <f ca="1">IF(H38="","",IF(B38="","",IF(K38=Data!$K$2,"",IF(H38&lt;TODAY(),"!",""))))</f>
        <v/>
      </c>
    </row>
    <row r="39" spans="1:12" s="281" customFormat="1" ht="27" customHeight="1">
      <c r="A39" s="355"/>
      <c r="B39" s="515"/>
      <c r="C39" s="515"/>
      <c r="D39" s="510"/>
      <c r="E39" s="510"/>
      <c r="F39" s="430"/>
      <c r="G39" s="427"/>
      <c r="H39" s="427"/>
      <c r="I39" s="443">
        <f t="shared" si="2"/>
        <v>0</v>
      </c>
      <c r="J39" s="429"/>
      <c r="K39" s="446" t="str">
        <f>IF(B39="","",IF(J39=1,Data!$K$2,IF(J39=0,Data!$K$5,Data!$K$3)))</f>
        <v/>
      </c>
      <c r="L39" s="448" t="str">
        <f ca="1">IF(H39="","",IF(B39="","",IF(K39=Data!$K$2,"",IF(H39&lt;TODAY(),"!",""))))</f>
        <v/>
      </c>
    </row>
    <row r="40" spans="1:12" s="281" customFormat="1" ht="27" customHeight="1">
      <c r="A40" s="355"/>
      <c r="B40" s="515"/>
      <c r="C40" s="515"/>
      <c r="D40" s="510"/>
      <c r="E40" s="510"/>
      <c r="F40" s="430"/>
      <c r="G40" s="427"/>
      <c r="H40" s="427"/>
      <c r="I40" s="443">
        <f t="shared" si="2"/>
        <v>0</v>
      </c>
      <c r="J40" s="429"/>
      <c r="K40" s="446" t="str">
        <f>IF(B40="","",IF(J40=1,Data!$K$2,IF(J40=0,Data!$K$5,Data!$K$3)))</f>
        <v/>
      </c>
      <c r="L40" s="448" t="str">
        <f ca="1">IF(H40="","",IF(B40="","",IF(K40=Data!$K$2,"",IF(H40&lt;TODAY(),"!",""))))</f>
        <v/>
      </c>
    </row>
    <row r="41" spans="1:12" s="281" customFormat="1" ht="27" customHeight="1">
      <c r="A41" s="355"/>
      <c r="B41" s="515"/>
      <c r="C41" s="515"/>
      <c r="D41" s="510"/>
      <c r="E41" s="510"/>
      <c r="F41" s="430"/>
      <c r="G41" s="427"/>
      <c r="H41" s="427"/>
      <c r="I41" s="443">
        <f t="shared" si="2"/>
        <v>0</v>
      </c>
      <c r="J41" s="429"/>
      <c r="K41" s="446" t="str">
        <f>IF(B41="","",IF(J41=1,Data!$K$2,IF(J41=0,Data!$K$5,Data!$K$3)))</f>
        <v/>
      </c>
      <c r="L41" s="448" t="str">
        <f ca="1">IF(H41="","",IF(B41="","",IF(K41=Data!$K$2,"",IF(H41&lt;TODAY(),"!",""))))</f>
        <v/>
      </c>
    </row>
    <row r="42" spans="1:12" s="281" customFormat="1" ht="27" customHeight="1">
      <c r="A42" s="355"/>
      <c r="B42" s="515"/>
      <c r="C42" s="515"/>
      <c r="D42" s="510"/>
      <c r="E42" s="510"/>
      <c r="F42" s="430"/>
      <c r="G42" s="427"/>
      <c r="H42" s="427"/>
      <c r="I42" s="443">
        <f t="shared" si="2"/>
        <v>0</v>
      </c>
      <c r="J42" s="429"/>
      <c r="K42" s="446" t="str">
        <f>IF(B42="","",IF(J42=1,Data!$K$2,IF(J42=0,Data!$K$5,Data!$K$3)))</f>
        <v/>
      </c>
      <c r="L42" s="448" t="str">
        <f ca="1">IF(H42="","",IF(B42="","",IF(K42=Data!$K$2,"",IF(H42&lt;TODAY(),"!",""))))</f>
        <v/>
      </c>
    </row>
    <row r="43" spans="1:12" s="281" customFormat="1" ht="27" customHeight="1">
      <c r="A43" s="355"/>
      <c r="B43" s="515"/>
      <c r="C43" s="515"/>
      <c r="D43" s="510"/>
      <c r="E43" s="510"/>
      <c r="F43" s="430"/>
      <c r="G43" s="427"/>
      <c r="H43" s="427"/>
      <c r="I43" s="443">
        <f t="shared" si="2"/>
        <v>0</v>
      </c>
      <c r="J43" s="429"/>
      <c r="K43" s="446" t="str">
        <f>IF(B43="","",IF(J43=1,Data!$K$2,IF(J43=0,Data!$K$5,Data!$K$3)))</f>
        <v/>
      </c>
      <c r="L43" s="448" t="str">
        <f ca="1">IF(H43="","",IF(B43="","",IF(K43=Data!$K$2,"",IF(H43&lt;TODAY(),"!",""))))</f>
        <v/>
      </c>
    </row>
    <row r="44" spans="1:12" s="281" customFormat="1" ht="27" customHeight="1">
      <c r="A44" s="355"/>
      <c r="B44" s="515"/>
      <c r="C44" s="515"/>
      <c r="D44" s="510"/>
      <c r="E44" s="510"/>
      <c r="F44" s="430"/>
      <c r="G44" s="427"/>
      <c r="H44" s="427"/>
      <c r="I44" s="443">
        <f t="shared" si="2"/>
        <v>0</v>
      </c>
      <c r="J44" s="429"/>
      <c r="K44" s="446" t="str">
        <f>IF(B44="","",IF(J44=1,Data!$K$2,IF(J44=0,Data!$K$5,Data!$K$3)))</f>
        <v/>
      </c>
      <c r="L44" s="448" t="str">
        <f ca="1">IF(H44="","",IF(B44="","",IF(K44=Data!$K$2,"",IF(H44&lt;TODAY(),"!",""))))</f>
        <v/>
      </c>
    </row>
    <row r="45" spans="1:12" s="281" customFormat="1" ht="27" customHeight="1">
      <c r="A45" s="355"/>
      <c r="B45" s="515"/>
      <c r="C45" s="515"/>
      <c r="D45" s="510"/>
      <c r="E45" s="510"/>
      <c r="F45" s="430"/>
      <c r="G45" s="427"/>
      <c r="H45" s="427"/>
      <c r="I45" s="443">
        <f t="shared" si="2"/>
        <v>0</v>
      </c>
      <c r="J45" s="429"/>
      <c r="K45" s="446" t="str">
        <f>IF(B45="","",IF(J45=1,Data!$K$2,IF(J45=0,Data!$K$5,Data!$K$3)))</f>
        <v/>
      </c>
      <c r="L45" s="448" t="str">
        <f ca="1">IF(H45="","",IF(B45="","",IF(K45=Data!$K$2,"",IF(H45&lt;TODAY(),"!",""))))</f>
        <v/>
      </c>
    </row>
    <row r="46" spans="1:12" s="281" customFormat="1" ht="27" customHeight="1">
      <c r="A46" s="355"/>
      <c r="B46" s="515"/>
      <c r="C46" s="515"/>
      <c r="D46" s="510"/>
      <c r="E46" s="510"/>
      <c r="F46" s="430"/>
      <c r="G46" s="427"/>
      <c r="H46" s="427"/>
      <c r="I46" s="443">
        <f t="shared" si="2"/>
        <v>0</v>
      </c>
      <c r="J46" s="429"/>
      <c r="K46" s="446" t="str">
        <f>IF(B46="","",IF(J46=1,Data!$K$2,IF(J46=0,Data!$K$5,Data!$K$3)))</f>
        <v/>
      </c>
      <c r="L46" s="448" t="str">
        <f ca="1">IF(H46="","",IF(B46="","",IF(K46=Data!$K$2,"",IF(H46&lt;TODAY(),"!",""))))</f>
        <v/>
      </c>
    </row>
    <row r="47" spans="1:12" s="281" customFormat="1" ht="27" customHeight="1">
      <c r="A47" s="355"/>
      <c r="B47" s="515"/>
      <c r="C47" s="515"/>
      <c r="D47" s="510"/>
      <c r="E47" s="510"/>
      <c r="F47" s="430"/>
      <c r="G47" s="427"/>
      <c r="H47" s="427"/>
      <c r="I47" s="443">
        <f t="shared" si="2"/>
        <v>0</v>
      </c>
      <c r="J47" s="429"/>
      <c r="K47" s="446" t="str">
        <f>IF(B47="","",IF(J47=1,Data!$K$2,IF(J47=0,Data!$K$5,Data!$K$3)))</f>
        <v/>
      </c>
      <c r="L47" s="448" t="str">
        <f ca="1">IF(H47="","",IF(B47="","",IF(K47=Data!$K$2,"",IF(H47&lt;TODAY(),"!",""))))</f>
        <v/>
      </c>
    </row>
    <row r="48" spans="1:12" s="281" customFormat="1" ht="27" customHeight="1">
      <c r="A48" s="355"/>
      <c r="B48" s="515"/>
      <c r="C48" s="515"/>
      <c r="D48" s="510"/>
      <c r="E48" s="510"/>
      <c r="F48" s="430"/>
      <c r="G48" s="427"/>
      <c r="H48" s="427"/>
      <c r="I48" s="443">
        <f t="shared" si="2"/>
        <v>0</v>
      </c>
      <c r="J48" s="429"/>
      <c r="K48" s="446" t="str">
        <f>IF(B48="","",IF(J48=1,Data!$K$2,IF(J48=0,Data!$K$5,Data!$K$3)))</f>
        <v/>
      </c>
      <c r="L48" s="448" t="str">
        <f ca="1">IF(H48="","",IF(B48="","",IF(K48=Data!$K$2,"",IF(H48&lt;TODAY(),"!",""))))</f>
        <v/>
      </c>
    </row>
    <row r="49" spans="1:12" s="281" customFormat="1" ht="27" customHeight="1">
      <c r="A49" s="355"/>
      <c r="B49" s="515"/>
      <c r="C49" s="515"/>
      <c r="D49" s="510"/>
      <c r="E49" s="510"/>
      <c r="F49" s="430"/>
      <c r="G49" s="427"/>
      <c r="H49" s="427"/>
      <c r="I49" s="443">
        <f t="shared" si="2"/>
        <v>0</v>
      </c>
      <c r="J49" s="429"/>
      <c r="K49" s="446" t="str">
        <f>IF(B49="","",IF(J49=1,Data!$K$2,IF(J49=0,Data!$K$5,Data!$K$3)))</f>
        <v/>
      </c>
      <c r="L49" s="448" t="str">
        <f ca="1">IF(H49="","",IF(B49="","",IF(K49=Data!$K$2,"",IF(H49&lt;TODAY(),"!",""))))</f>
        <v/>
      </c>
    </row>
    <row r="50" spans="1:12" s="281" customFormat="1" ht="27" customHeight="1">
      <c r="A50" s="355"/>
      <c r="B50" s="515"/>
      <c r="C50" s="515"/>
      <c r="D50" s="510"/>
      <c r="E50" s="510"/>
      <c r="F50" s="430"/>
      <c r="G50" s="427"/>
      <c r="H50" s="427"/>
      <c r="I50" s="443">
        <f t="shared" si="2"/>
        <v>0</v>
      </c>
      <c r="J50" s="429"/>
      <c r="K50" s="446" t="str">
        <f>IF(B50="","",IF(J50=1,Data!$K$2,IF(J50=0,Data!$K$5,Data!$K$3)))</f>
        <v/>
      </c>
      <c r="L50" s="448" t="str">
        <f ca="1">IF(H50="","",IF(B50="","",IF(K50=Data!$K$2,"",IF(H50&lt;TODAY(),"!",""))))</f>
        <v/>
      </c>
    </row>
    <row r="51" spans="1:12" s="281" customFormat="1" ht="27" customHeight="1">
      <c r="A51" s="355"/>
      <c r="B51" s="515"/>
      <c r="C51" s="515"/>
      <c r="D51" s="510"/>
      <c r="E51" s="510"/>
      <c r="F51" s="430"/>
      <c r="G51" s="427"/>
      <c r="H51" s="427"/>
      <c r="I51" s="443">
        <f t="shared" si="2"/>
        <v>0</v>
      </c>
      <c r="J51" s="429"/>
      <c r="K51" s="446" t="str">
        <f>IF(B51="","",IF(J51=1,Data!$K$2,IF(J51=0,Data!$K$5,Data!$K$3)))</f>
        <v/>
      </c>
      <c r="L51" s="448" t="str">
        <f ca="1">IF(H51="","",IF(B51="","",IF(K51=Data!$K$2,"",IF(H51&lt;TODAY(),"!",""))))</f>
        <v/>
      </c>
    </row>
    <row r="52" spans="1:12" s="281" customFormat="1" ht="27" customHeight="1">
      <c r="A52" s="355"/>
      <c r="B52" s="515"/>
      <c r="C52" s="515"/>
      <c r="D52" s="510"/>
      <c r="E52" s="510"/>
      <c r="F52" s="430"/>
      <c r="G52" s="427"/>
      <c r="H52" s="427"/>
      <c r="I52" s="443">
        <f t="shared" si="2"/>
        <v>0</v>
      </c>
      <c r="J52" s="429"/>
      <c r="K52" s="446" t="str">
        <f>IF(B52="","",IF(J52=1,Data!$K$2,IF(J52=0,Data!$K$5,Data!$K$3)))</f>
        <v/>
      </c>
      <c r="L52" s="448" t="str">
        <f ca="1">IF(H52="","",IF(B52="","",IF(K52=Data!$K$2,"",IF(H52&lt;TODAY(),"!",""))))</f>
        <v/>
      </c>
    </row>
    <row r="53" spans="1:12" s="281" customFormat="1" ht="27" customHeight="1">
      <c r="A53" s="355"/>
      <c r="B53" s="515"/>
      <c r="C53" s="515"/>
      <c r="D53" s="510"/>
      <c r="E53" s="510"/>
      <c r="F53" s="430"/>
      <c r="G53" s="427"/>
      <c r="H53" s="427"/>
      <c r="I53" s="443">
        <f t="shared" si="2"/>
        <v>0</v>
      </c>
      <c r="J53" s="429"/>
      <c r="K53" s="446" t="str">
        <f>IF(B53="","",IF(J53=1,Data!$K$2,IF(J53=0,Data!$K$5,Data!$K$3)))</f>
        <v/>
      </c>
      <c r="L53" s="448" t="str">
        <f ca="1">IF(H53="","",IF(B53="","",IF(K53=Data!$K$2,"",IF(H53&lt;TODAY(),"!",""))))</f>
        <v/>
      </c>
    </row>
    <row r="54" spans="1:12" s="281" customFormat="1" ht="27" customHeight="1">
      <c r="A54" s="355"/>
      <c r="B54" s="515"/>
      <c r="C54" s="515"/>
      <c r="D54" s="510"/>
      <c r="E54" s="510"/>
      <c r="F54" s="430"/>
      <c r="G54" s="427"/>
      <c r="H54" s="427"/>
      <c r="I54" s="443">
        <f t="shared" si="2"/>
        <v>0</v>
      </c>
      <c r="J54" s="429"/>
      <c r="K54" s="446" t="str">
        <f>IF(B54="","",IF(J54=1,Data!$K$2,IF(J54=0,Data!$K$5,Data!$K$3)))</f>
        <v/>
      </c>
      <c r="L54" s="448" t="str">
        <f ca="1">IF(H54="","",IF(B54="","",IF(K54=Data!$K$2,"",IF(H54&lt;TODAY(),"!",""))))</f>
        <v/>
      </c>
    </row>
    <row r="55" spans="1:12" s="281" customFormat="1" ht="27" customHeight="1">
      <c r="A55" s="357"/>
      <c r="B55" s="515"/>
      <c r="C55" s="515"/>
      <c r="D55" s="510"/>
      <c r="E55" s="510"/>
      <c r="F55" s="430"/>
      <c r="G55" s="427"/>
      <c r="H55" s="427"/>
      <c r="I55" s="443">
        <f t="shared" si="2"/>
        <v>0</v>
      </c>
      <c r="J55" s="429"/>
      <c r="K55" s="446" t="str">
        <f>IF(B55="","",IF(J55=1,Data!$K$2,IF(J55=0,Data!$K$5,Data!$K$3)))</f>
        <v/>
      </c>
      <c r="L55" s="448" t="str">
        <f ca="1">IF(H55="","",IF(B55="","",IF(K55=Data!$K$2,"",IF(H55&lt;TODAY(),"!",""))))</f>
        <v/>
      </c>
    </row>
    <row r="56" spans="1:12" s="281" customFormat="1" ht="27" customHeight="1">
      <c r="A56" s="357"/>
      <c r="B56" s="515"/>
      <c r="C56" s="515"/>
      <c r="D56" s="510"/>
      <c r="E56" s="510"/>
      <c r="F56" s="430"/>
      <c r="G56" s="427"/>
      <c r="H56" s="427"/>
      <c r="I56" s="443">
        <f t="shared" si="2"/>
        <v>0</v>
      </c>
      <c r="J56" s="429"/>
      <c r="K56" s="446" t="str">
        <f>IF(B56="","",IF(J56=1,Data!$K$2,IF(J56=0,Data!$K$5,Data!$K$3)))</f>
        <v/>
      </c>
      <c r="L56" s="448" t="str">
        <f ca="1">IF(H56="","",IF(B56="","",IF(K56=Data!$K$2,"",IF(H56&lt;TODAY(),"!",""))))</f>
        <v/>
      </c>
    </row>
    <row r="57" spans="1:12" s="281" customFormat="1" ht="27" customHeight="1">
      <c r="A57" s="357"/>
      <c r="B57" s="515"/>
      <c r="C57" s="515"/>
      <c r="D57" s="510"/>
      <c r="E57" s="510"/>
      <c r="F57" s="430"/>
      <c r="G57" s="427"/>
      <c r="H57" s="427"/>
      <c r="I57" s="443">
        <f t="shared" si="2"/>
        <v>0</v>
      </c>
      <c r="J57" s="429"/>
      <c r="K57" s="446" t="str">
        <f>IF(B57="","",IF(J57=1,Data!$K$2,IF(J57=0,Data!$K$5,Data!$K$3)))</f>
        <v/>
      </c>
      <c r="L57" s="448" t="str">
        <f ca="1">IF(H57="","",IF(B57="","",IF(K57=Data!$K$2,"",IF(H57&lt;TODAY(),"!",""))))</f>
        <v/>
      </c>
    </row>
    <row r="58" spans="1:12" s="281" customFormat="1" ht="27" customHeight="1">
      <c r="A58" s="357"/>
      <c r="B58" s="515"/>
      <c r="C58" s="515"/>
      <c r="D58" s="510"/>
      <c r="E58" s="510"/>
      <c r="F58" s="430"/>
      <c r="G58" s="427"/>
      <c r="H58" s="427"/>
      <c r="I58" s="443">
        <f t="shared" si="2"/>
        <v>0</v>
      </c>
      <c r="J58" s="429"/>
      <c r="K58" s="446" t="str">
        <f>IF(B58="","",IF(J58=1,Data!$K$2,IF(J58=0,Data!$K$5,Data!$K$3)))</f>
        <v/>
      </c>
      <c r="L58" s="448" t="str">
        <f ca="1">IF(H58="","",IF(B58="","",IF(K58=Data!$K$2,"",IF(H58&lt;TODAY(),"!",""))))</f>
        <v/>
      </c>
    </row>
    <row r="59" spans="1:12" s="281" customFormat="1" ht="27" customHeight="1">
      <c r="A59" s="357"/>
      <c r="B59" s="515"/>
      <c r="C59" s="515"/>
      <c r="D59" s="510"/>
      <c r="E59" s="510"/>
      <c r="F59" s="430"/>
      <c r="G59" s="427"/>
      <c r="H59" s="427"/>
      <c r="I59" s="443">
        <f t="shared" si="2"/>
        <v>0</v>
      </c>
      <c r="J59" s="429"/>
      <c r="K59" s="446" t="str">
        <f>IF(B59="","",IF(J59=1,Data!$K$2,IF(J59=0,Data!$K$5,Data!$K$3)))</f>
        <v/>
      </c>
      <c r="L59" s="448" t="str">
        <f ca="1">IF(H59="","",IF(B59="","",IF(K59=Data!$K$2,"",IF(H59&lt;TODAY(),"!",""))))</f>
        <v/>
      </c>
    </row>
    <row r="60" spans="1:12" s="281" customFormat="1" ht="27" customHeight="1">
      <c r="A60" s="357"/>
      <c r="B60" s="515"/>
      <c r="C60" s="515"/>
      <c r="D60" s="510"/>
      <c r="E60" s="510"/>
      <c r="F60" s="430"/>
      <c r="G60" s="427"/>
      <c r="H60" s="427"/>
      <c r="I60" s="443">
        <f t="shared" si="2"/>
        <v>0</v>
      </c>
      <c r="J60" s="429"/>
      <c r="K60" s="446" t="str">
        <f>IF(B60="","",IF(J60=1,Data!$K$2,IF(J60=0,Data!$K$5,Data!$K$3)))</f>
        <v/>
      </c>
      <c r="L60" s="448" t="str">
        <f ca="1">IF(H60="","",IF(B60="","",IF(K60=Data!$K$2,"",IF(H60&lt;TODAY(),"!",""))))</f>
        <v/>
      </c>
    </row>
    <row r="61" spans="1:12" s="281" customFormat="1" ht="27" customHeight="1">
      <c r="A61" s="357"/>
      <c r="B61" s="515"/>
      <c r="C61" s="515"/>
      <c r="D61" s="510"/>
      <c r="E61" s="510"/>
      <c r="F61" s="430"/>
      <c r="G61" s="427"/>
      <c r="H61" s="427"/>
      <c r="I61" s="443">
        <f t="shared" si="2"/>
        <v>0</v>
      </c>
      <c r="J61" s="429"/>
      <c r="K61" s="446" t="str">
        <f>IF(B61="","",IF(J61=1,Data!$K$2,IF(J61=0,Data!$K$5,Data!$K$3)))</f>
        <v/>
      </c>
      <c r="L61" s="448" t="str">
        <f ca="1">IF(H61="","",IF(B61="","",IF(K61=Data!$K$2,"",IF(H61&lt;TODAY(),"!",""))))</f>
        <v/>
      </c>
    </row>
    <row r="62" spans="1:12" s="281" customFormat="1" ht="27" customHeight="1">
      <c r="A62" s="357"/>
      <c r="B62" s="515"/>
      <c r="C62" s="515"/>
      <c r="D62" s="510"/>
      <c r="E62" s="510"/>
      <c r="F62" s="430"/>
      <c r="G62" s="427"/>
      <c r="H62" s="427"/>
      <c r="I62" s="443">
        <f t="shared" si="2"/>
        <v>0</v>
      </c>
      <c r="J62" s="429"/>
      <c r="K62" s="446" t="str">
        <f>IF(B62="","",IF(J62=1,Data!$K$2,IF(J62=0,Data!$K$5,Data!$K$3)))</f>
        <v/>
      </c>
      <c r="L62" s="448" t="str">
        <f ca="1">IF(H62="","",IF(B62="","",IF(K62=Data!$K$2,"",IF(H62&lt;TODAY(),"!",""))))</f>
        <v/>
      </c>
    </row>
    <row r="63" spans="1:12" s="281" customFormat="1" ht="27" customHeight="1">
      <c r="A63" s="357"/>
      <c r="B63" s="515"/>
      <c r="C63" s="515"/>
      <c r="D63" s="510"/>
      <c r="E63" s="510"/>
      <c r="F63" s="430"/>
      <c r="G63" s="427"/>
      <c r="H63" s="427"/>
      <c r="I63" s="443">
        <f t="shared" si="2"/>
        <v>0</v>
      </c>
      <c r="J63" s="429"/>
      <c r="K63" s="446" t="str">
        <f>IF(B63="","",IF(J63=1,Data!$K$2,IF(J63=0,Data!$K$5,Data!$K$3)))</f>
        <v/>
      </c>
      <c r="L63" s="448" t="str">
        <f ca="1">IF(H63="","",IF(B63="","",IF(K63=Data!$K$2,"",IF(H63&lt;TODAY(),"!",""))))</f>
        <v/>
      </c>
    </row>
    <row r="64" spans="1:12" s="281" customFormat="1" ht="27" customHeight="1">
      <c r="A64" s="357"/>
      <c r="B64" s="515"/>
      <c r="C64" s="515"/>
      <c r="D64" s="510"/>
      <c r="E64" s="510"/>
      <c r="F64" s="430"/>
      <c r="G64" s="427"/>
      <c r="H64" s="427"/>
      <c r="I64" s="443">
        <f t="shared" si="2"/>
        <v>0</v>
      </c>
      <c r="J64" s="429"/>
      <c r="K64" s="446" t="str">
        <f>IF(B64="","",IF(J64=1,Data!$K$2,IF(J64=0,Data!$K$5,Data!$K$3)))</f>
        <v/>
      </c>
      <c r="L64" s="448" t="str">
        <f ca="1">IF(H64="","",IF(B64="","",IF(K64=Data!$K$2,"",IF(H64&lt;TODAY(),"!",""))))</f>
        <v/>
      </c>
    </row>
    <row r="65" spans="1:12" s="281" customFormat="1" ht="27" customHeight="1">
      <c r="A65" s="357"/>
      <c r="B65" s="515"/>
      <c r="C65" s="515"/>
      <c r="D65" s="510"/>
      <c r="E65" s="510"/>
      <c r="F65" s="430"/>
      <c r="G65" s="427"/>
      <c r="H65" s="427"/>
      <c r="I65" s="443">
        <f t="shared" si="2"/>
        <v>0</v>
      </c>
      <c r="J65" s="429"/>
      <c r="K65" s="446" t="str">
        <f>IF(B65="","",IF(J65=1,Data!$K$2,IF(J65=0,Data!$K$5,Data!$K$3)))</f>
        <v/>
      </c>
      <c r="L65" s="448" t="str">
        <f ca="1">IF(H65="","",IF(B65="","",IF(K65=Data!$K$2,"",IF(H65&lt;TODAY(),"!",""))))</f>
        <v/>
      </c>
    </row>
    <row r="66" spans="1:12" s="281" customFormat="1" ht="27" customHeight="1">
      <c r="A66" s="357"/>
      <c r="B66" s="515"/>
      <c r="C66" s="515"/>
      <c r="D66" s="510"/>
      <c r="E66" s="510"/>
      <c r="F66" s="430"/>
      <c r="G66" s="427"/>
      <c r="H66" s="427"/>
      <c r="I66" s="443">
        <f t="shared" si="2"/>
        <v>0</v>
      </c>
      <c r="J66" s="429"/>
      <c r="K66" s="446" t="str">
        <f>IF(B66="","",IF(J66=1,Data!$K$2,IF(J66=0,Data!$K$5,Data!$K$3)))</f>
        <v/>
      </c>
      <c r="L66" s="448" t="str">
        <f ca="1">IF(H66="","",IF(B66="","",IF(K66=Data!$K$2,"",IF(H66&lt;TODAY(),"!",""))))</f>
        <v/>
      </c>
    </row>
    <row r="67" spans="1:12" s="281" customFormat="1" ht="27" customHeight="1">
      <c r="A67" s="357"/>
      <c r="B67" s="515"/>
      <c r="C67" s="515"/>
      <c r="D67" s="510"/>
      <c r="E67" s="510"/>
      <c r="F67" s="430"/>
      <c r="G67" s="427"/>
      <c r="H67" s="427"/>
      <c r="I67" s="443">
        <f t="shared" si="2"/>
        <v>0</v>
      </c>
      <c r="J67" s="429"/>
      <c r="K67" s="446" t="str">
        <f>IF(B67="","",IF(J67=1,Data!$K$2,IF(J67=0,Data!$K$5,Data!$K$3)))</f>
        <v/>
      </c>
      <c r="L67" s="448" t="str">
        <f ca="1">IF(H67="","",IF(B67="","",IF(K67=Data!$K$2,"",IF(H67&lt;TODAY(),"!",""))))</f>
        <v/>
      </c>
    </row>
    <row r="68" spans="1:12" ht="27" customHeight="1">
      <c r="B68" s="515"/>
      <c r="C68" s="515"/>
      <c r="D68" s="510"/>
      <c r="E68" s="510"/>
      <c r="F68" s="432"/>
      <c r="G68" s="433"/>
      <c r="H68" s="433"/>
      <c r="I68" s="444">
        <f t="shared" si="2"/>
        <v>0</v>
      </c>
      <c r="J68" s="434"/>
      <c r="K68" s="446" t="str">
        <f>IF(B68="","",IF(J68=1,Data!$K$2,IF(J68=0,Data!$K$5,Data!$K$3)))</f>
        <v/>
      </c>
      <c r="L68" s="448" t="str">
        <f ca="1">IF(H68="","",IF(B68="","",IF(K68=Data!$K$2,"",IF(H68&lt;TODAY(),"!",""))))</f>
        <v/>
      </c>
    </row>
    <row r="69" spans="1:12" ht="27" customHeight="1">
      <c r="B69" s="515"/>
      <c r="C69" s="515"/>
      <c r="D69" s="510"/>
      <c r="E69" s="510"/>
      <c r="F69" s="432"/>
      <c r="G69" s="433"/>
      <c r="H69" s="433"/>
      <c r="I69" s="444">
        <f t="shared" si="2"/>
        <v>0</v>
      </c>
      <c r="J69" s="434"/>
      <c r="K69" s="446" t="str">
        <f>IF(B69="","",IF(J69=1,Data!$K$2,IF(J69=0,Data!$K$5,Data!$K$3)))</f>
        <v/>
      </c>
      <c r="L69" s="448" t="str">
        <f ca="1">IF(H69="","",IF(B69="","",IF(K69=Data!$K$2,"",IF(H69&lt;TODAY(),"!",""))))</f>
        <v/>
      </c>
    </row>
    <row r="70" spans="1:12" ht="27" customHeight="1">
      <c r="B70" s="515"/>
      <c r="C70" s="515"/>
      <c r="D70" s="510"/>
      <c r="E70" s="510"/>
      <c r="F70" s="432"/>
      <c r="G70" s="433"/>
      <c r="H70" s="433"/>
      <c r="I70" s="444">
        <f t="shared" si="2"/>
        <v>0</v>
      </c>
      <c r="J70" s="434"/>
      <c r="K70" s="446" t="str">
        <f>IF(B70="","",IF(J70=1,Data!$K$2,IF(J70=0,Data!$K$5,Data!$K$3)))</f>
        <v/>
      </c>
      <c r="L70" s="448" t="str">
        <f ca="1">IF(H70="","",IF(B70="","",IF(K70=Data!$K$2,"",IF(H70&lt;TODAY(),"!",""))))</f>
        <v/>
      </c>
    </row>
    <row r="71" spans="1:12" ht="27" customHeight="1">
      <c r="B71" s="515"/>
      <c r="C71" s="515"/>
      <c r="D71" s="510"/>
      <c r="E71" s="510"/>
      <c r="F71" s="432"/>
      <c r="G71" s="433"/>
      <c r="H71" s="433"/>
      <c r="I71" s="444">
        <f t="shared" si="2"/>
        <v>0</v>
      </c>
      <c r="J71" s="434"/>
      <c r="K71" s="446" t="str">
        <f>IF(B71="","",IF(J71=1,Data!$K$2,IF(J71=0,Data!$K$5,Data!$K$3)))</f>
        <v/>
      </c>
      <c r="L71" s="448" t="str">
        <f ca="1">IF(H71="","",IF(B71="","",IF(K71=Data!$K$2,"",IF(H71&lt;TODAY(),"!",""))))</f>
        <v/>
      </c>
    </row>
    <row r="72" spans="1:12" ht="27" customHeight="1">
      <c r="B72" s="515"/>
      <c r="C72" s="515"/>
      <c r="D72" s="510"/>
      <c r="E72" s="510"/>
      <c r="F72" s="432"/>
      <c r="G72" s="433"/>
      <c r="H72" s="433"/>
      <c r="I72" s="444">
        <f t="shared" si="2"/>
        <v>0</v>
      </c>
      <c r="J72" s="434"/>
      <c r="K72" s="446" t="str">
        <f>IF(B72="","",IF(J72=1,Data!$K$2,IF(J72=0,Data!$K$5,Data!$K$3)))</f>
        <v/>
      </c>
      <c r="L72" s="448" t="str">
        <f ca="1">IF(H72="","",IF(B72="","",IF(K72=Data!$K$2,"",IF(H72&lt;TODAY(),"!",""))))</f>
        <v/>
      </c>
    </row>
    <row r="73" spans="1:12" ht="27" customHeight="1">
      <c r="B73" s="515"/>
      <c r="C73" s="515"/>
      <c r="D73" s="510"/>
      <c r="E73" s="510"/>
      <c r="F73" s="432"/>
      <c r="G73" s="433"/>
      <c r="H73" s="433"/>
      <c r="I73" s="444">
        <f t="shared" si="2"/>
        <v>0</v>
      </c>
      <c r="J73" s="434"/>
      <c r="K73" s="446" t="str">
        <f>IF(B73="","",IF(J73=1,Data!$K$2,IF(J73=0,Data!$K$5,Data!$K$3)))</f>
        <v/>
      </c>
      <c r="L73" s="448" t="str">
        <f ca="1">IF(H73="","",IF(B73="","",IF(K73=Data!$K$2,"",IF(H73&lt;TODAY(),"!",""))))</f>
        <v/>
      </c>
    </row>
    <row r="74" spans="1:12" ht="27" customHeight="1">
      <c r="B74" s="515"/>
      <c r="C74" s="515"/>
      <c r="D74" s="510"/>
      <c r="E74" s="510"/>
      <c r="F74" s="432"/>
      <c r="G74" s="433"/>
      <c r="H74" s="433"/>
      <c r="I74" s="444">
        <f t="shared" si="2"/>
        <v>0</v>
      </c>
      <c r="J74" s="434"/>
      <c r="K74" s="446" t="str">
        <f>IF(B74="","",IF(J74=1,Data!$K$2,IF(J74=0,Data!$K$5,Data!$K$3)))</f>
        <v/>
      </c>
      <c r="L74" s="448" t="str">
        <f ca="1">IF(H74="","",IF(B74="","",IF(K74=Data!$K$2,"",IF(H74&lt;TODAY(),"!",""))))</f>
        <v/>
      </c>
    </row>
    <row r="75" spans="1:12" ht="27" customHeight="1">
      <c r="B75" s="515"/>
      <c r="C75" s="515"/>
      <c r="D75" s="510"/>
      <c r="E75" s="510"/>
      <c r="F75" s="432"/>
      <c r="G75" s="433"/>
      <c r="H75" s="433"/>
      <c r="I75" s="444">
        <f t="shared" si="2"/>
        <v>0</v>
      </c>
      <c r="J75" s="434"/>
      <c r="K75" s="446" t="str">
        <f>IF(B75="","",IF(J75=1,Data!$K$2,IF(J75=0,Data!$K$5,Data!$K$3)))</f>
        <v/>
      </c>
      <c r="L75" s="448" t="str">
        <f ca="1">IF(H75="","",IF(B75="","",IF(K75=Data!$K$2,"",IF(H75&lt;TODAY(),"!",""))))</f>
        <v/>
      </c>
    </row>
    <row r="76" spans="1:12" ht="27" customHeight="1">
      <c r="B76" s="515"/>
      <c r="C76" s="515"/>
      <c r="D76" s="510"/>
      <c r="E76" s="510"/>
      <c r="F76" s="432"/>
      <c r="G76" s="433"/>
      <c r="H76" s="433"/>
      <c r="I76" s="444">
        <f t="shared" si="2"/>
        <v>0</v>
      </c>
      <c r="J76" s="434"/>
      <c r="K76" s="446" t="str">
        <f>IF(B76="","",IF(J76=1,Data!$K$2,IF(J76=0,Data!$K$5,Data!$K$3)))</f>
        <v/>
      </c>
      <c r="L76" s="448" t="str">
        <f ca="1">IF(H76="","",IF(B76="","",IF(K76=Data!$K$2,"",IF(H76&lt;TODAY(),"!",""))))</f>
        <v/>
      </c>
    </row>
    <row r="77" spans="1:12" ht="27" customHeight="1">
      <c r="B77" s="515"/>
      <c r="C77" s="515"/>
      <c r="D77" s="510"/>
      <c r="E77" s="510"/>
      <c r="F77" s="432"/>
      <c r="G77" s="433"/>
      <c r="H77" s="433"/>
      <c r="I77" s="444">
        <f t="shared" ref="I77:I111" si="3">IFERROR(H77-G77,0)</f>
        <v>0</v>
      </c>
      <c r="J77" s="434"/>
      <c r="K77" s="446" t="str">
        <f>IF(B77="","",IF(J77=1,Data!$K$2,IF(J77=0,Data!$K$5,Data!$K$3)))</f>
        <v/>
      </c>
      <c r="L77" s="448" t="str">
        <f ca="1">IF(H77="","",IF(B77="","",IF(K77=Data!$K$2,"",IF(H77&lt;TODAY(),"!",""))))</f>
        <v/>
      </c>
    </row>
    <row r="78" spans="1:12" ht="27" customHeight="1">
      <c r="B78" s="515"/>
      <c r="C78" s="515"/>
      <c r="D78" s="510"/>
      <c r="E78" s="510"/>
      <c r="F78" s="432"/>
      <c r="G78" s="433"/>
      <c r="H78" s="433"/>
      <c r="I78" s="444">
        <f t="shared" si="3"/>
        <v>0</v>
      </c>
      <c r="J78" s="434"/>
      <c r="K78" s="446" t="str">
        <f>IF(B78="","",IF(J78=1,Data!$K$2,IF(J78=0,Data!$K$5,Data!$K$3)))</f>
        <v/>
      </c>
      <c r="L78" s="448" t="str">
        <f ca="1">IF(H78="","",IF(B78="","",IF(K78=Data!$K$2,"",IF(H78&lt;TODAY(),"!",""))))</f>
        <v/>
      </c>
    </row>
    <row r="79" spans="1:12" ht="27" customHeight="1">
      <c r="B79" s="515"/>
      <c r="C79" s="515"/>
      <c r="D79" s="510"/>
      <c r="E79" s="510"/>
      <c r="F79" s="432"/>
      <c r="G79" s="433"/>
      <c r="H79" s="433"/>
      <c r="I79" s="444">
        <f t="shared" si="3"/>
        <v>0</v>
      </c>
      <c r="J79" s="434"/>
      <c r="K79" s="446" t="str">
        <f>IF(B79="","",IF(J79=1,Data!$K$2,IF(J79=0,Data!$K$5,Data!$K$3)))</f>
        <v/>
      </c>
      <c r="L79" s="448" t="str">
        <f ca="1">IF(H79="","",IF(B79="","",IF(K79=Data!$K$2,"",IF(H79&lt;TODAY(),"!",""))))</f>
        <v/>
      </c>
    </row>
    <row r="80" spans="1:12" ht="27" customHeight="1">
      <c r="B80" s="515"/>
      <c r="C80" s="515"/>
      <c r="D80" s="510"/>
      <c r="E80" s="510"/>
      <c r="F80" s="432"/>
      <c r="G80" s="433"/>
      <c r="H80" s="433"/>
      <c r="I80" s="444">
        <f t="shared" si="3"/>
        <v>0</v>
      </c>
      <c r="J80" s="434"/>
      <c r="K80" s="446" t="str">
        <f>IF(B80="","",IF(J80=1,Data!$K$2,IF(J80=0,Data!$K$5,Data!$K$3)))</f>
        <v/>
      </c>
      <c r="L80" s="448" t="str">
        <f ca="1">IF(H80="","",IF(B80="","",IF(K80=Data!$K$2,"",IF(H80&lt;TODAY(),"!",""))))</f>
        <v/>
      </c>
    </row>
    <row r="81" spans="2:12" ht="27" customHeight="1">
      <c r="B81" s="515"/>
      <c r="C81" s="515"/>
      <c r="D81" s="510"/>
      <c r="E81" s="510"/>
      <c r="F81" s="432"/>
      <c r="G81" s="433"/>
      <c r="H81" s="433"/>
      <c r="I81" s="444">
        <f t="shared" si="3"/>
        <v>0</v>
      </c>
      <c r="J81" s="434"/>
      <c r="K81" s="446" t="str">
        <f>IF(B81="","",IF(J81=1,Data!$K$2,IF(J81=0,Data!$K$5,Data!$K$3)))</f>
        <v/>
      </c>
      <c r="L81" s="448" t="str">
        <f ca="1">IF(H81="","",IF(B81="","",IF(K81=Data!$K$2,"",IF(H81&lt;TODAY(),"!",""))))</f>
        <v/>
      </c>
    </row>
    <row r="82" spans="2:12" ht="27" customHeight="1">
      <c r="B82" s="515"/>
      <c r="C82" s="515"/>
      <c r="D82" s="510"/>
      <c r="E82" s="510"/>
      <c r="F82" s="432"/>
      <c r="G82" s="433"/>
      <c r="H82" s="433"/>
      <c r="I82" s="444">
        <f t="shared" si="3"/>
        <v>0</v>
      </c>
      <c r="J82" s="434"/>
      <c r="K82" s="446" t="str">
        <f>IF(B82="","",IF(J82=1,Data!$K$2,IF(J82=0,Data!$K$5,Data!$K$3)))</f>
        <v/>
      </c>
      <c r="L82" s="448" t="str">
        <f ca="1">IF(H82="","",IF(B82="","",IF(K82=Data!$K$2,"",IF(H82&lt;TODAY(),"!",""))))</f>
        <v/>
      </c>
    </row>
    <row r="83" spans="2:12" ht="27" customHeight="1">
      <c r="B83" s="515"/>
      <c r="C83" s="515"/>
      <c r="D83" s="510"/>
      <c r="E83" s="510"/>
      <c r="F83" s="432"/>
      <c r="G83" s="433"/>
      <c r="H83" s="433"/>
      <c r="I83" s="444">
        <f t="shared" si="3"/>
        <v>0</v>
      </c>
      <c r="J83" s="434"/>
      <c r="K83" s="446" t="str">
        <f>IF(B83="","",IF(J83=1,Data!$K$2,IF(J83=0,Data!$K$5,Data!$K$3)))</f>
        <v/>
      </c>
      <c r="L83" s="448" t="str">
        <f ca="1">IF(H83="","",IF(B83="","",IF(K83=Data!$K$2,"",IF(H83&lt;TODAY(),"!",""))))</f>
        <v/>
      </c>
    </row>
    <row r="84" spans="2:12" ht="27" customHeight="1">
      <c r="B84" s="515"/>
      <c r="C84" s="515"/>
      <c r="D84" s="510"/>
      <c r="E84" s="510"/>
      <c r="F84" s="432"/>
      <c r="G84" s="433"/>
      <c r="H84" s="433"/>
      <c r="I84" s="444">
        <f t="shared" si="3"/>
        <v>0</v>
      </c>
      <c r="J84" s="434"/>
      <c r="K84" s="446" t="str">
        <f>IF(B84="","",IF(J84=1,Data!$K$2,IF(J84=0,Data!$K$5,Data!$K$3)))</f>
        <v/>
      </c>
      <c r="L84" s="448" t="str">
        <f ca="1">IF(H84="","",IF(B84="","",IF(K84=Data!$K$2,"",IF(H84&lt;TODAY(),"!",""))))</f>
        <v/>
      </c>
    </row>
    <row r="85" spans="2:12" ht="27" customHeight="1">
      <c r="B85" s="515"/>
      <c r="C85" s="515"/>
      <c r="D85" s="510"/>
      <c r="E85" s="510"/>
      <c r="F85" s="432"/>
      <c r="G85" s="433"/>
      <c r="H85" s="433"/>
      <c r="I85" s="444">
        <f t="shared" si="3"/>
        <v>0</v>
      </c>
      <c r="J85" s="434"/>
      <c r="K85" s="446" t="str">
        <f>IF(B85="","",IF(J85=1,Data!$K$2,IF(J85=0,Data!$K$5,Data!$K$3)))</f>
        <v/>
      </c>
      <c r="L85" s="448" t="str">
        <f ca="1">IF(H85="","",IF(B85="","",IF(K85=Data!$K$2,"",IF(H85&lt;TODAY(),"!",""))))</f>
        <v/>
      </c>
    </row>
    <row r="86" spans="2:12" ht="27" customHeight="1">
      <c r="B86" s="515"/>
      <c r="C86" s="515"/>
      <c r="D86" s="510"/>
      <c r="E86" s="510"/>
      <c r="F86" s="432"/>
      <c r="G86" s="433"/>
      <c r="H86" s="433"/>
      <c r="I86" s="444">
        <f t="shared" si="3"/>
        <v>0</v>
      </c>
      <c r="J86" s="434"/>
      <c r="K86" s="446" t="str">
        <f>IF(B86="","",IF(J86=1,Data!$K$2,IF(J86=0,Data!$K$5,Data!$K$3)))</f>
        <v/>
      </c>
      <c r="L86" s="448" t="str">
        <f ca="1">IF(H86="","",IF(B86="","",IF(K86=Data!$K$2,"",IF(H86&lt;TODAY(),"!",""))))</f>
        <v/>
      </c>
    </row>
    <row r="87" spans="2:12" ht="27" customHeight="1">
      <c r="B87" s="515"/>
      <c r="C87" s="515"/>
      <c r="D87" s="510"/>
      <c r="E87" s="510"/>
      <c r="F87" s="432"/>
      <c r="G87" s="433"/>
      <c r="H87" s="433"/>
      <c r="I87" s="444">
        <f t="shared" si="3"/>
        <v>0</v>
      </c>
      <c r="J87" s="434"/>
      <c r="K87" s="446" t="str">
        <f>IF(B87="","",IF(J87=1,Data!$K$2,IF(J87=0,Data!$K$5,Data!$K$3)))</f>
        <v/>
      </c>
      <c r="L87" s="448" t="str">
        <f ca="1">IF(H87="","",IF(B87="","",IF(K87=Data!$K$2,"",IF(H87&lt;TODAY(),"!",""))))</f>
        <v/>
      </c>
    </row>
    <row r="88" spans="2:12" ht="27" customHeight="1">
      <c r="B88" s="515"/>
      <c r="C88" s="515"/>
      <c r="D88" s="510"/>
      <c r="E88" s="510"/>
      <c r="F88" s="432"/>
      <c r="G88" s="433"/>
      <c r="H88" s="433"/>
      <c r="I88" s="444">
        <f t="shared" si="3"/>
        <v>0</v>
      </c>
      <c r="J88" s="434"/>
      <c r="K88" s="446" t="str">
        <f>IF(B88="","",IF(J88=1,Data!$K$2,IF(J88=0,Data!$K$5,Data!$K$3)))</f>
        <v/>
      </c>
      <c r="L88" s="448" t="str">
        <f ca="1">IF(H88="","",IF(B88="","",IF(K88=Data!$K$2,"",IF(H88&lt;TODAY(),"!",""))))</f>
        <v/>
      </c>
    </row>
    <row r="89" spans="2:12" ht="27" customHeight="1">
      <c r="B89" s="515"/>
      <c r="C89" s="515"/>
      <c r="D89" s="510"/>
      <c r="E89" s="510"/>
      <c r="F89" s="432"/>
      <c r="G89" s="433"/>
      <c r="H89" s="433"/>
      <c r="I89" s="444">
        <f t="shared" si="3"/>
        <v>0</v>
      </c>
      <c r="J89" s="434"/>
      <c r="K89" s="446" t="str">
        <f>IF(B89="","",IF(J89=1,Data!$K$2,IF(J89=0,Data!$K$5,Data!$K$3)))</f>
        <v/>
      </c>
      <c r="L89" s="448" t="str">
        <f ca="1">IF(H89="","",IF(B89="","",IF(K89=Data!$K$2,"",IF(H89&lt;TODAY(),"!",""))))</f>
        <v/>
      </c>
    </row>
    <row r="90" spans="2:12" ht="27" customHeight="1">
      <c r="B90" s="515"/>
      <c r="C90" s="515"/>
      <c r="D90" s="510"/>
      <c r="E90" s="510"/>
      <c r="F90" s="432"/>
      <c r="G90" s="433"/>
      <c r="H90" s="433"/>
      <c r="I90" s="444">
        <f t="shared" si="3"/>
        <v>0</v>
      </c>
      <c r="J90" s="434"/>
      <c r="K90" s="446" t="str">
        <f>IF(B90="","",IF(J90=1,Data!$K$2,IF(J90=0,Data!$K$5,Data!$K$3)))</f>
        <v/>
      </c>
      <c r="L90" s="448" t="str">
        <f ca="1">IF(H90="","",IF(B90="","",IF(K90=Data!$K$2,"",IF(H90&lt;TODAY(),"!",""))))</f>
        <v/>
      </c>
    </row>
    <row r="91" spans="2:12" ht="27" customHeight="1">
      <c r="B91" s="515"/>
      <c r="C91" s="515"/>
      <c r="D91" s="510"/>
      <c r="E91" s="510"/>
      <c r="F91" s="432"/>
      <c r="G91" s="433"/>
      <c r="H91" s="433"/>
      <c r="I91" s="444">
        <f t="shared" si="3"/>
        <v>0</v>
      </c>
      <c r="J91" s="434"/>
      <c r="K91" s="446" t="str">
        <f>IF(B91="","",IF(J91=1,Data!$K$2,IF(J91=0,Data!$K$5,Data!$K$3)))</f>
        <v/>
      </c>
      <c r="L91" s="448" t="str">
        <f ca="1">IF(H91="","",IF(B91="","",IF(K91=Data!$K$2,"",IF(H91&lt;TODAY(),"!",""))))</f>
        <v/>
      </c>
    </row>
    <row r="92" spans="2:12" ht="27" customHeight="1">
      <c r="B92" s="515"/>
      <c r="C92" s="515"/>
      <c r="D92" s="510"/>
      <c r="E92" s="510"/>
      <c r="F92" s="432"/>
      <c r="G92" s="433"/>
      <c r="H92" s="433"/>
      <c r="I92" s="444">
        <f t="shared" si="3"/>
        <v>0</v>
      </c>
      <c r="J92" s="434"/>
      <c r="K92" s="446" t="str">
        <f>IF(B92="","",IF(J92=1,Data!$K$2,IF(J92=0,Data!$K$5,Data!$K$3)))</f>
        <v/>
      </c>
      <c r="L92" s="448" t="str">
        <f ca="1">IF(H92="","",IF(B92="","",IF(K92=Data!$K$2,"",IF(H92&lt;TODAY(),"!",""))))</f>
        <v/>
      </c>
    </row>
    <row r="93" spans="2:12" ht="27" customHeight="1">
      <c r="B93" s="515"/>
      <c r="C93" s="515"/>
      <c r="D93" s="510"/>
      <c r="E93" s="510"/>
      <c r="F93" s="432"/>
      <c r="G93" s="433"/>
      <c r="H93" s="433"/>
      <c r="I93" s="444">
        <f t="shared" si="3"/>
        <v>0</v>
      </c>
      <c r="J93" s="434"/>
      <c r="K93" s="446" t="str">
        <f>IF(B93="","",IF(J93=1,Data!$K$2,IF(J93=0,Data!$K$5,Data!$K$3)))</f>
        <v/>
      </c>
      <c r="L93" s="448" t="str">
        <f ca="1">IF(H93="","",IF(B93="","",IF(K93=Data!$K$2,"",IF(H93&lt;TODAY(),"!",""))))</f>
        <v/>
      </c>
    </row>
    <row r="94" spans="2:12" ht="27" customHeight="1">
      <c r="B94" s="515"/>
      <c r="C94" s="515"/>
      <c r="D94" s="510"/>
      <c r="E94" s="510"/>
      <c r="F94" s="432"/>
      <c r="G94" s="433"/>
      <c r="H94" s="433"/>
      <c r="I94" s="444">
        <f t="shared" si="3"/>
        <v>0</v>
      </c>
      <c r="J94" s="434"/>
      <c r="K94" s="446" t="str">
        <f>IF(B94="","",IF(J94=1,Data!$K$2,IF(J94=0,Data!$K$5,Data!$K$3)))</f>
        <v/>
      </c>
      <c r="L94" s="448" t="str">
        <f ca="1">IF(H94="","",IF(B94="","",IF(K94=Data!$K$2,"",IF(H94&lt;TODAY(),"!",""))))</f>
        <v/>
      </c>
    </row>
    <row r="95" spans="2:12" ht="27" customHeight="1">
      <c r="B95" s="515"/>
      <c r="C95" s="515"/>
      <c r="D95" s="510"/>
      <c r="E95" s="510"/>
      <c r="F95" s="432"/>
      <c r="G95" s="433"/>
      <c r="H95" s="433"/>
      <c r="I95" s="444">
        <f t="shared" si="3"/>
        <v>0</v>
      </c>
      <c r="J95" s="434"/>
      <c r="K95" s="446" t="str">
        <f>IF(B95="","",IF(J95=1,Data!$K$2,IF(J95=0,Data!$K$5,Data!$K$3)))</f>
        <v/>
      </c>
      <c r="L95" s="448" t="str">
        <f ca="1">IF(H95="","",IF(B95="","",IF(K95=Data!$K$2,"",IF(H95&lt;TODAY(),"!",""))))</f>
        <v/>
      </c>
    </row>
    <row r="96" spans="2:12" ht="27" customHeight="1">
      <c r="B96" s="515"/>
      <c r="C96" s="515"/>
      <c r="D96" s="510"/>
      <c r="E96" s="510"/>
      <c r="F96" s="432"/>
      <c r="G96" s="433"/>
      <c r="H96" s="433"/>
      <c r="I96" s="444">
        <f t="shared" si="3"/>
        <v>0</v>
      </c>
      <c r="J96" s="434"/>
      <c r="K96" s="446" t="str">
        <f>IF(B96="","",IF(J96=1,Data!$K$2,IF(J96=0,Data!$K$5,Data!$K$3)))</f>
        <v/>
      </c>
      <c r="L96" s="448" t="str">
        <f ca="1">IF(H96="","",IF(B96="","",IF(K96=Data!$K$2,"",IF(H96&lt;TODAY(),"!",""))))</f>
        <v/>
      </c>
    </row>
    <row r="97" spans="2:12" ht="27" customHeight="1">
      <c r="B97" s="515"/>
      <c r="C97" s="515"/>
      <c r="D97" s="510"/>
      <c r="E97" s="510"/>
      <c r="F97" s="432"/>
      <c r="G97" s="433"/>
      <c r="H97" s="433"/>
      <c r="I97" s="444">
        <f t="shared" si="3"/>
        <v>0</v>
      </c>
      <c r="J97" s="434"/>
      <c r="K97" s="446" t="str">
        <f>IF(B97="","",IF(J97=1,Data!$K$2,IF(J97=0,Data!$K$5,Data!$K$3)))</f>
        <v/>
      </c>
      <c r="L97" s="448" t="str">
        <f ca="1">IF(H97="","",IF(B97="","",IF(K97=Data!$K$2,"",IF(H97&lt;TODAY(),"!",""))))</f>
        <v/>
      </c>
    </row>
    <row r="98" spans="2:12" ht="27" customHeight="1">
      <c r="B98" s="515"/>
      <c r="C98" s="515"/>
      <c r="D98" s="510"/>
      <c r="E98" s="510"/>
      <c r="F98" s="432"/>
      <c r="G98" s="433"/>
      <c r="H98" s="433"/>
      <c r="I98" s="444">
        <f t="shared" si="3"/>
        <v>0</v>
      </c>
      <c r="J98" s="434"/>
      <c r="K98" s="446" t="str">
        <f>IF(B98="","",IF(J98=1,Data!$K$2,IF(J98=0,Data!$K$5,Data!$K$3)))</f>
        <v/>
      </c>
      <c r="L98" s="448" t="str">
        <f ca="1">IF(H98="","",IF(B98="","",IF(K98=Data!$K$2,"",IF(H98&lt;TODAY(),"!",""))))</f>
        <v/>
      </c>
    </row>
    <row r="99" spans="2:12" ht="27" customHeight="1">
      <c r="B99" s="515"/>
      <c r="C99" s="515"/>
      <c r="D99" s="510"/>
      <c r="E99" s="510"/>
      <c r="F99" s="432"/>
      <c r="G99" s="433"/>
      <c r="H99" s="433"/>
      <c r="I99" s="444">
        <f t="shared" si="3"/>
        <v>0</v>
      </c>
      <c r="J99" s="434"/>
      <c r="K99" s="446" t="str">
        <f>IF(B99="","",IF(J99=1,Data!$K$2,IF(J99=0,Data!$K$5,Data!$K$3)))</f>
        <v/>
      </c>
      <c r="L99" s="448" t="str">
        <f ca="1">IF(H99="","",IF(B99="","",IF(K99=Data!$K$2,"",IF(H99&lt;TODAY(),"!",""))))</f>
        <v/>
      </c>
    </row>
    <row r="100" spans="2:12" ht="27" customHeight="1">
      <c r="B100" s="515"/>
      <c r="C100" s="515"/>
      <c r="D100" s="510"/>
      <c r="E100" s="510"/>
      <c r="F100" s="432"/>
      <c r="G100" s="433"/>
      <c r="H100" s="433"/>
      <c r="I100" s="444">
        <f t="shared" si="3"/>
        <v>0</v>
      </c>
      <c r="J100" s="434"/>
      <c r="K100" s="446" t="str">
        <f>IF(B100="","",IF(J100=1,Data!$K$2,IF(J100=0,Data!$K$5,Data!$K$3)))</f>
        <v/>
      </c>
      <c r="L100" s="448" t="str">
        <f ca="1">IF(H100="","",IF(B100="","",IF(K100=Data!$K$2,"",IF(H100&lt;TODAY(),"!",""))))</f>
        <v/>
      </c>
    </row>
    <row r="101" spans="2:12" ht="27" customHeight="1">
      <c r="B101" s="515"/>
      <c r="C101" s="515"/>
      <c r="D101" s="510"/>
      <c r="E101" s="510"/>
      <c r="F101" s="432"/>
      <c r="G101" s="433"/>
      <c r="H101" s="433"/>
      <c r="I101" s="444">
        <f t="shared" si="3"/>
        <v>0</v>
      </c>
      <c r="J101" s="434"/>
      <c r="K101" s="446" t="str">
        <f>IF(B101="","",IF(J101=1,Data!$K$2,IF(J101=0,Data!$K$5,Data!$K$3)))</f>
        <v/>
      </c>
      <c r="L101" s="448" t="str">
        <f ca="1">IF(H101="","",IF(B101="","",IF(K101=Data!$K$2,"",IF(H101&lt;TODAY(),"!",""))))</f>
        <v/>
      </c>
    </row>
    <row r="102" spans="2:12" ht="27" customHeight="1">
      <c r="B102" s="515"/>
      <c r="C102" s="515"/>
      <c r="D102" s="510"/>
      <c r="E102" s="510"/>
      <c r="F102" s="432"/>
      <c r="G102" s="433"/>
      <c r="H102" s="433"/>
      <c r="I102" s="444">
        <f t="shared" si="3"/>
        <v>0</v>
      </c>
      <c r="J102" s="434"/>
      <c r="K102" s="446" t="str">
        <f>IF(B102="","",IF(J102=1,Data!$K$2,IF(J102=0,Data!$K$5,Data!$K$3)))</f>
        <v/>
      </c>
      <c r="L102" s="448" t="str">
        <f ca="1">IF(H102="","",IF(B102="","",IF(K102=Data!$K$2,"",IF(H102&lt;TODAY(),"!",""))))</f>
        <v/>
      </c>
    </row>
    <row r="103" spans="2:12" ht="27" customHeight="1">
      <c r="B103" s="515"/>
      <c r="C103" s="515"/>
      <c r="D103" s="510"/>
      <c r="E103" s="510"/>
      <c r="F103" s="432"/>
      <c r="G103" s="433"/>
      <c r="H103" s="433"/>
      <c r="I103" s="444">
        <f t="shared" si="3"/>
        <v>0</v>
      </c>
      <c r="J103" s="434"/>
      <c r="K103" s="446" t="str">
        <f>IF(B103="","",IF(J103=1,Data!$K$2,IF(J103=0,Data!$K$5,Data!$K$3)))</f>
        <v/>
      </c>
      <c r="L103" s="448" t="str">
        <f ca="1">IF(H103="","",IF(B103="","",IF(K103=Data!$K$2,"",IF(H103&lt;TODAY(),"!",""))))</f>
        <v/>
      </c>
    </row>
    <row r="104" spans="2:12" ht="27" customHeight="1">
      <c r="B104" s="515"/>
      <c r="C104" s="515"/>
      <c r="D104" s="510"/>
      <c r="E104" s="510"/>
      <c r="F104" s="432"/>
      <c r="G104" s="433"/>
      <c r="H104" s="433"/>
      <c r="I104" s="444">
        <f t="shared" si="3"/>
        <v>0</v>
      </c>
      <c r="J104" s="434"/>
      <c r="K104" s="446" t="str">
        <f>IF(B104="","",IF(J104=1,Data!$K$2,IF(J104=0,Data!$K$5,Data!$K$3)))</f>
        <v/>
      </c>
      <c r="L104" s="448" t="str">
        <f ca="1">IF(H104="","",IF(B104="","",IF(K104=Data!$K$2,"",IF(H104&lt;TODAY(),"!",""))))</f>
        <v/>
      </c>
    </row>
    <row r="105" spans="2:12" ht="27" customHeight="1">
      <c r="B105" s="515"/>
      <c r="C105" s="515"/>
      <c r="D105" s="510"/>
      <c r="E105" s="510"/>
      <c r="F105" s="432"/>
      <c r="G105" s="433"/>
      <c r="H105" s="433"/>
      <c r="I105" s="444">
        <f t="shared" si="3"/>
        <v>0</v>
      </c>
      <c r="J105" s="434"/>
      <c r="K105" s="446" t="str">
        <f>IF(B105="","",IF(J105=1,Data!$K$2,IF(J105=0,Data!$K$5,Data!$K$3)))</f>
        <v/>
      </c>
      <c r="L105" s="448" t="str">
        <f ca="1">IF(H105="","",IF(B105="","",IF(K105=Data!$K$2,"",IF(H105&lt;TODAY(),"!",""))))</f>
        <v/>
      </c>
    </row>
    <row r="106" spans="2:12" ht="27" customHeight="1">
      <c r="B106" s="515"/>
      <c r="C106" s="515"/>
      <c r="D106" s="510"/>
      <c r="E106" s="510"/>
      <c r="F106" s="432"/>
      <c r="G106" s="433"/>
      <c r="H106" s="433"/>
      <c r="I106" s="444">
        <f t="shared" si="3"/>
        <v>0</v>
      </c>
      <c r="J106" s="434"/>
      <c r="K106" s="446" t="str">
        <f>IF(B106="","",IF(J106=1,Data!$K$2,IF(J106=0,Data!$K$5,Data!$K$3)))</f>
        <v/>
      </c>
      <c r="L106" s="448" t="str">
        <f ca="1">IF(H106="","",IF(B106="","",IF(K106=Data!$K$2,"",IF(H106&lt;TODAY(),"!",""))))</f>
        <v/>
      </c>
    </row>
    <row r="107" spans="2:12" ht="27" customHeight="1">
      <c r="B107" s="515"/>
      <c r="C107" s="515"/>
      <c r="D107" s="510"/>
      <c r="E107" s="510"/>
      <c r="F107" s="432"/>
      <c r="G107" s="433"/>
      <c r="H107" s="433"/>
      <c r="I107" s="444">
        <f t="shared" si="3"/>
        <v>0</v>
      </c>
      <c r="J107" s="434"/>
      <c r="K107" s="446" t="str">
        <f>IF(B107="","",IF(J107=1,Data!$K$2,IF(J107=0,Data!$K$5,Data!$K$3)))</f>
        <v/>
      </c>
      <c r="L107" s="448" t="str">
        <f ca="1">IF(H107="","",IF(B107="","",IF(K107=Data!$K$2,"",IF(H107&lt;TODAY(),"!",""))))</f>
        <v/>
      </c>
    </row>
    <row r="108" spans="2:12" ht="27" customHeight="1">
      <c r="B108" s="515"/>
      <c r="C108" s="515"/>
      <c r="D108" s="510"/>
      <c r="E108" s="510"/>
      <c r="F108" s="432"/>
      <c r="G108" s="433"/>
      <c r="H108" s="433"/>
      <c r="I108" s="444">
        <f t="shared" si="3"/>
        <v>0</v>
      </c>
      <c r="J108" s="434"/>
      <c r="K108" s="446" t="str">
        <f>IF(B108="","",IF(J108=1,Data!$K$2,IF(J108=0,Data!$K$5,Data!$K$3)))</f>
        <v/>
      </c>
      <c r="L108" s="448" t="str">
        <f ca="1">IF(H108="","",IF(B108="","",IF(K108=Data!$K$2,"",IF(H108&lt;TODAY(),"!",""))))</f>
        <v/>
      </c>
    </row>
    <row r="109" spans="2:12" ht="27" customHeight="1">
      <c r="B109" s="515"/>
      <c r="C109" s="515"/>
      <c r="D109" s="510"/>
      <c r="E109" s="510"/>
      <c r="F109" s="432"/>
      <c r="G109" s="433"/>
      <c r="H109" s="433"/>
      <c r="I109" s="444">
        <f t="shared" si="3"/>
        <v>0</v>
      </c>
      <c r="J109" s="434"/>
      <c r="K109" s="446" t="str">
        <f>IF(B109="","",IF(J109=1,Data!$K$2,IF(J109=0,Data!$K$5,Data!$K$3)))</f>
        <v/>
      </c>
      <c r="L109" s="448" t="str">
        <f ca="1">IF(H109="","",IF(B109="","",IF(K109=Data!$K$2,"",IF(H109&lt;TODAY(),"!",""))))</f>
        <v/>
      </c>
    </row>
    <row r="110" spans="2:12" ht="27" customHeight="1">
      <c r="B110" s="515"/>
      <c r="C110" s="515"/>
      <c r="D110" s="510"/>
      <c r="E110" s="510"/>
      <c r="F110" s="432"/>
      <c r="G110" s="433"/>
      <c r="H110" s="433"/>
      <c r="I110" s="444">
        <f t="shared" si="3"/>
        <v>0</v>
      </c>
      <c r="J110" s="434"/>
      <c r="K110" s="446" t="str">
        <f>IF(B110="","",IF(J110=1,Data!$K$2,IF(J110=0,Data!$K$5,Data!$K$3)))</f>
        <v/>
      </c>
      <c r="L110" s="448" t="str">
        <f ca="1">IF(H110="","",IF(B110="","",IF(K110=Data!$K$2,"",IF(H110&lt;TODAY(),"!",""))))</f>
        <v/>
      </c>
    </row>
    <row r="111" spans="2:12" ht="27" customHeight="1">
      <c r="B111" s="515"/>
      <c r="C111" s="515"/>
      <c r="D111" s="510"/>
      <c r="E111" s="510"/>
      <c r="F111" s="435"/>
      <c r="G111" s="436"/>
      <c r="H111" s="436"/>
      <c r="I111" s="445">
        <f t="shared" si="3"/>
        <v>0</v>
      </c>
      <c r="J111" s="437"/>
      <c r="K111" s="446" t="str">
        <f>IF(B111="","",IF(J111=1,Data!$K$2,IF(J111=0,Data!$K$5,Data!$K$3)))</f>
        <v/>
      </c>
      <c r="L111" s="448" t="str">
        <f ca="1">IF(H111="","",IF(B111="","",IF(K111=Data!$K$2,"",IF(H111&lt;TODAY(),"!",""))))</f>
        <v/>
      </c>
    </row>
  </sheetData>
  <sheetProtection formatCells="0" formatColumns="0" formatRows="0" selectLockedCells="1" sort="0" autoFilter="0" pivotTables="0"/>
  <autoFilter ref="B11:L11" xr:uid="{07563E1A-48B9-4CDA-8CFF-500C77999A60}">
    <filterColumn colId="0" showButton="0"/>
    <filterColumn colId="2" showButton="0"/>
  </autoFilter>
  <mergeCells count="204">
    <mergeCell ref="B13:C13"/>
    <mergeCell ref="D13:E13"/>
    <mergeCell ref="B14:C14"/>
    <mergeCell ref="D14:E14"/>
    <mergeCell ref="B15:C15"/>
    <mergeCell ref="D15:E15"/>
    <mergeCell ref="B11:C11"/>
    <mergeCell ref="D11:E11"/>
    <mergeCell ref="B12:C12"/>
    <mergeCell ref="D12:E12"/>
    <mergeCell ref="B19:C19"/>
    <mergeCell ref="D19:E19"/>
    <mergeCell ref="B20:C20"/>
    <mergeCell ref="D20:E20"/>
    <mergeCell ref="B21:C21"/>
    <mergeCell ref="D21:E21"/>
    <mergeCell ref="B16:C16"/>
    <mergeCell ref="D16:E16"/>
    <mergeCell ref="B17:C17"/>
    <mergeCell ref="D17:E17"/>
    <mergeCell ref="B18:C18"/>
    <mergeCell ref="D18:E18"/>
    <mergeCell ref="B25:C25"/>
    <mergeCell ref="D25:E25"/>
    <mergeCell ref="B26:C26"/>
    <mergeCell ref="D26:E26"/>
    <mergeCell ref="B27:C27"/>
    <mergeCell ref="D27:E27"/>
    <mergeCell ref="B22:C22"/>
    <mergeCell ref="D22:E22"/>
    <mergeCell ref="B23:C23"/>
    <mergeCell ref="D23:E23"/>
    <mergeCell ref="B24:C24"/>
    <mergeCell ref="D24:E24"/>
    <mergeCell ref="B31:C31"/>
    <mergeCell ref="D31:E31"/>
    <mergeCell ref="B32:C32"/>
    <mergeCell ref="D32:E32"/>
    <mergeCell ref="B33:C33"/>
    <mergeCell ref="D33:E33"/>
    <mergeCell ref="B28:C28"/>
    <mergeCell ref="D28:E28"/>
    <mergeCell ref="B29:C29"/>
    <mergeCell ref="D29:E29"/>
    <mergeCell ref="B30:C30"/>
    <mergeCell ref="D30:E30"/>
    <mergeCell ref="B37:C37"/>
    <mergeCell ref="D37:E37"/>
    <mergeCell ref="B38:C38"/>
    <mergeCell ref="D38:E38"/>
    <mergeCell ref="B39:C39"/>
    <mergeCell ref="D39:E39"/>
    <mergeCell ref="B34:C34"/>
    <mergeCell ref="D34:E34"/>
    <mergeCell ref="B35:C35"/>
    <mergeCell ref="D35:E35"/>
    <mergeCell ref="B36:C36"/>
    <mergeCell ref="D36:E36"/>
    <mergeCell ref="B43:C43"/>
    <mergeCell ref="D43:E43"/>
    <mergeCell ref="B44:C44"/>
    <mergeCell ref="D44:E44"/>
    <mergeCell ref="B45:C45"/>
    <mergeCell ref="D45:E45"/>
    <mergeCell ref="B40:C40"/>
    <mergeCell ref="D40:E40"/>
    <mergeCell ref="B41:C41"/>
    <mergeCell ref="D41:E41"/>
    <mergeCell ref="B42:C42"/>
    <mergeCell ref="D42:E42"/>
    <mergeCell ref="B49:C49"/>
    <mergeCell ref="D49:E49"/>
    <mergeCell ref="B50:C50"/>
    <mergeCell ref="D50:E50"/>
    <mergeCell ref="B51:C51"/>
    <mergeCell ref="D51:E51"/>
    <mergeCell ref="B46:C46"/>
    <mergeCell ref="D46:E46"/>
    <mergeCell ref="B47:C47"/>
    <mergeCell ref="D47:E47"/>
    <mergeCell ref="B48:C48"/>
    <mergeCell ref="D48:E48"/>
    <mergeCell ref="B55:C55"/>
    <mergeCell ref="D55:E55"/>
    <mergeCell ref="B56:C56"/>
    <mergeCell ref="D56:E56"/>
    <mergeCell ref="B57:C57"/>
    <mergeCell ref="D57:E57"/>
    <mergeCell ref="B52:C52"/>
    <mergeCell ref="D52:E52"/>
    <mergeCell ref="B53:C53"/>
    <mergeCell ref="D53:E53"/>
    <mergeCell ref="B54:C54"/>
    <mergeCell ref="D54:E54"/>
    <mergeCell ref="B61:C61"/>
    <mergeCell ref="D61:E61"/>
    <mergeCell ref="B62:C62"/>
    <mergeCell ref="D62:E62"/>
    <mergeCell ref="B63:C63"/>
    <mergeCell ref="D63:E63"/>
    <mergeCell ref="B58:C58"/>
    <mergeCell ref="D58:E58"/>
    <mergeCell ref="B59:C59"/>
    <mergeCell ref="D59:E59"/>
    <mergeCell ref="B60:C60"/>
    <mergeCell ref="D60:E60"/>
    <mergeCell ref="B67:C67"/>
    <mergeCell ref="D67:E67"/>
    <mergeCell ref="B68:C68"/>
    <mergeCell ref="D68:E68"/>
    <mergeCell ref="B69:C69"/>
    <mergeCell ref="D69:E69"/>
    <mergeCell ref="B64:C64"/>
    <mergeCell ref="D64:E64"/>
    <mergeCell ref="B65:C65"/>
    <mergeCell ref="D65:E65"/>
    <mergeCell ref="B66:C66"/>
    <mergeCell ref="D66:E66"/>
    <mergeCell ref="B73:C73"/>
    <mergeCell ref="D73:E73"/>
    <mergeCell ref="B74:C74"/>
    <mergeCell ref="D74:E74"/>
    <mergeCell ref="B75:C75"/>
    <mergeCell ref="D75:E75"/>
    <mergeCell ref="B70:C70"/>
    <mergeCell ref="D70:E70"/>
    <mergeCell ref="B71:C71"/>
    <mergeCell ref="D71:E71"/>
    <mergeCell ref="B72:C72"/>
    <mergeCell ref="D72:E72"/>
    <mergeCell ref="B79:C79"/>
    <mergeCell ref="D79:E79"/>
    <mergeCell ref="B80:C80"/>
    <mergeCell ref="D80:E80"/>
    <mergeCell ref="B81:C81"/>
    <mergeCell ref="D81:E81"/>
    <mergeCell ref="B76:C76"/>
    <mergeCell ref="D76:E76"/>
    <mergeCell ref="B77:C77"/>
    <mergeCell ref="D77:E77"/>
    <mergeCell ref="B78:C78"/>
    <mergeCell ref="D78:E78"/>
    <mergeCell ref="B85:C85"/>
    <mergeCell ref="D85:E85"/>
    <mergeCell ref="B86:C86"/>
    <mergeCell ref="D86:E86"/>
    <mergeCell ref="B87:C87"/>
    <mergeCell ref="D87:E87"/>
    <mergeCell ref="B82:C82"/>
    <mergeCell ref="D82:E82"/>
    <mergeCell ref="B83:C83"/>
    <mergeCell ref="D83:E83"/>
    <mergeCell ref="B84:C84"/>
    <mergeCell ref="D84:E84"/>
    <mergeCell ref="B91:C91"/>
    <mergeCell ref="D91:E91"/>
    <mergeCell ref="B92:C92"/>
    <mergeCell ref="D92:E92"/>
    <mergeCell ref="B93:C93"/>
    <mergeCell ref="D93:E93"/>
    <mergeCell ref="B88:C88"/>
    <mergeCell ref="D88:E88"/>
    <mergeCell ref="B89:C89"/>
    <mergeCell ref="D89:E89"/>
    <mergeCell ref="B90:C90"/>
    <mergeCell ref="D90:E90"/>
    <mergeCell ref="B102:C102"/>
    <mergeCell ref="D102:E102"/>
    <mergeCell ref="B97:C97"/>
    <mergeCell ref="D97:E97"/>
    <mergeCell ref="B98:C98"/>
    <mergeCell ref="D98:E98"/>
    <mergeCell ref="B99:C99"/>
    <mergeCell ref="D99:E99"/>
    <mergeCell ref="B94:C94"/>
    <mergeCell ref="D94:E94"/>
    <mergeCell ref="B95:C95"/>
    <mergeCell ref="D95:E95"/>
    <mergeCell ref="B96:C96"/>
    <mergeCell ref="D96:E96"/>
    <mergeCell ref="K7:L7"/>
    <mergeCell ref="K8:L9"/>
    <mergeCell ref="B109:C109"/>
    <mergeCell ref="D109:E109"/>
    <mergeCell ref="B110:C110"/>
    <mergeCell ref="D110:E110"/>
    <mergeCell ref="B111:C111"/>
    <mergeCell ref="D111:E111"/>
    <mergeCell ref="B106:C106"/>
    <mergeCell ref="D106:E106"/>
    <mergeCell ref="B107:C107"/>
    <mergeCell ref="D107:E107"/>
    <mergeCell ref="B108:C108"/>
    <mergeCell ref="D108:E108"/>
    <mergeCell ref="B103:C103"/>
    <mergeCell ref="D103:E103"/>
    <mergeCell ref="B104:C104"/>
    <mergeCell ref="D104:E104"/>
    <mergeCell ref="B105:C105"/>
    <mergeCell ref="D105:E105"/>
    <mergeCell ref="B100:C100"/>
    <mergeCell ref="D100:E100"/>
    <mergeCell ref="B101:C101"/>
    <mergeCell ref="D101:E101"/>
  </mergeCells>
  <phoneticPr fontId="31" type="noConversion"/>
  <conditionalFormatting sqref="B10:G10">
    <cfRule type="expression" dxfId="187" priority="1">
      <formula>B$10=""</formula>
    </cfRule>
  </conditionalFormatting>
  <conditionalFormatting sqref="L12:L111">
    <cfRule type="expression" dxfId="183" priority="4">
      <formula>$L12="!"</formula>
    </cfRule>
  </conditionalFormatting>
  <dataValidations count="2">
    <dataValidation type="list" allowBlank="1" showInputMessage="1" showErrorMessage="1" sqref="D12:E111" xr:uid="{7259A94E-46C2-434E-BF79-CB432F89BA3E}">
      <formula1>ActionPlan06</formula1>
    </dataValidation>
    <dataValidation type="list" allowBlank="1" showInputMessage="1" showErrorMessage="1" sqref="F12:F111" xr:uid="{3A4A622E-C43E-4C0A-AA96-4EF267D5F585}">
      <formula1>DRangeEmployee</formula1>
    </dataValidation>
  </dataValidations>
  <hyperlinks>
    <hyperlink ref="B10" location="'AP1'!A1" display="'AP1'!A1" xr:uid="{9C337386-578B-41C5-B7C2-DFBA81C5A08D}"/>
    <hyperlink ref="C10" location="'AP2'!A1" display="'AP2'!A1" xr:uid="{3D0C8012-1245-4250-AA21-A02EA8A13BBB}"/>
    <hyperlink ref="D10" location="'AP3'!A1" display="'AP3'!A1" xr:uid="{E1BF3780-5822-41BC-916F-B94C32A97D56}"/>
    <hyperlink ref="E10" location="'AP4'!A1" display="'AP4'!A1" xr:uid="{54B600C4-8E0F-4AC6-A02A-FCBEA270C81A}"/>
    <hyperlink ref="F10" location="'AP5'!A1" display="'AP5'!A1" xr:uid="{65FAB5A8-5732-462D-BFCF-7189FA6E4B39}"/>
    <hyperlink ref="G10" location="'AP6'!A1" display="'AP6'!A1" xr:uid="{188C9372-0B03-47AF-8826-3978ABD6E4B7}"/>
  </hyperlinks>
  <pageMargins left="0.7" right="0.7" top="0.75" bottom="0.75" header="0.3" footer="0.3"/>
  <pageSetup scale="67"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id="{8612163E-DF42-4F79-B594-DE97BEC2EAFB}">
            <xm:f>$K12=Data!$K$5</xm:f>
            <x14:dxf>
              <font>
                <color theme="1" tint="0.24994659260841701"/>
              </font>
              <fill>
                <patternFill>
                  <bgColor theme="0" tint="-4.9989318521683403E-2"/>
                </patternFill>
              </fill>
            </x14:dxf>
          </x14:cfRule>
          <x14:cfRule type="expression" priority="7" id="{A3A66500-A787-4F89-8E8D-56241B86DFF4}">
            <xm:f>$K12=Data!$K$3</xm:f>
            <x14:dxf>
              <font>
                <color theme="0"/>
              </font>
              <fill>
                <patternFill>
                  <bgColor rgb="FFF2C80F"/>
                </patternFill>
              </fill>
            </x14:dxf>
          </x14:cfRule>
          <x14:cfRule type="expression" priority="8" id="{20FE6F23-2CB9-40C6-92A4-09FAD65F4EAD}">
            <xm:f>$K12=Data!$K$2</xm:f>
            <x14:dxf>
              <font>
                <color theme="0"/>
              </font>
              <fill>
                <patternFill>
                  <bgColor rgb="FF55B03E"/>
                </patternFill>
              </fill>
            </x14:dxf>
          </x14:cfRule>
          <xm:sqref>K12:K111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339-8D26-4A23-B701-1987934C4C9C}">
  <dimension ref="A1:V95"/>
  <sheetViews>
    <sheetView showGridLines="0" showRowColHeaders="0" zoomScaleNormal="100" workbookViewId="0"/>
  </sheetViews>
  <sheetFormatPr baseColWidth="10" defaultColWidth="11.5" defaultRowHeight="15"/>
  <cols>
    <col min="1" max="1" width="2.6640625" style="93" customWidth="1"/>
    <col min="2" max="2" width="42.6640625" style="242" customWidth="1"/>
    <col min="3" max="3" width="6.6640625" style="151" customWidth="1"/>
    <col min="4" max="5" width="10.6640625" style="151" customWidth="1"/>
    <col min="6" max="6" width="6.33203125" style="151" customWidth="1"/>
    <col min="7" max="7" width="5.6640625" style="151" customWidth="1"/>
    <col min="8" max="8" width="18.6640625" style="93" customWidth="1"/>
    <col min="9" max="9" width="3.6640625" style="390" customWidth="1"/>
    <col min="10" max="10" width="42.6640625" style="242" customWidth="1"/>
    <col min="11" max="11" width="6.6640625" style="151" customWidth="1"/>
    <col min="12" max="12" width="10.6640625" style="151" customWidth="1"/>
    <col min="13" max="13" width="10.6640625" style="93" customWidth="1"/>
    <col min="14" max="14" width="6.33203125" style="151" customWidth="1"/>
    <col min="15" max="15" width="5.6640625" style="151" customWidth="1"/>
    <col min="16" max="16" width="18.6640625" style="151" customWidth="1"/>
    <col min="17" max="17" width="1.5" style="390" customWidth="1"/>
    <col min="18" max="18" width="2" style="93" bestFit="1" customWidth="1"/>
    <col min="19" max="16384" width="11.5" style="151"/>
  </cols>
  <sheetData>
    <row r="1" spans="1:22" s="268" customFormat="1" ht="39" customHeight="1">
      <c r="A1" s="266"/>
      <c r="B1" s="267"/>
      <c r="C1" s="266"/>
      <c r="D1" s="266"/>
      <c r="E1" s="266"/>
      <c r="F1" s="266"/>
      <c r="G1" s="266"/>
      <c r="H1" s="266"/>
      <c r="I1" s="266"/>
      <c r="J1" s="267"/>
      <c r="K1" s="266"/>
      <c r="L1" s="266"/>
      <c r="M1" s="266"/>
      <c r="N1" s="266"/>
      <c r="O1" s="266"/>
      <c r="P1" s="266"/>
      <c r="Q1" s="266"/>
      <c r="R1" s="266"/>
      <c r="S1" s="266"/>
    </row>
    <row r="2" spans="1:22" s="269" customFormat="1" ht="25" customHeight="1">
      <c r="A2" s="312"/>
      <c r="B2" s="270"/>
      <c r="H2" s="312"/>
      <c r="I2" s="388"/>
      <c r="J2" s="270"/>
      <c r="M2" s="312"/>
      <c r="Q2" s="388"/>
      <c r="R2" s="312"/>
    </row>
    <row r="3" spans="1:22" s="251" customFormat="1" ht="18" customHeight="1">
      <c r="A3" s="287"/>
      <c r="B3" s="265"/>
      <c r="H3" s="287"/>
      <c r="I3" s="384"/>
      <c r="J3" s="265"/>
      <c r="M3" s="287"/>
      <c r="Q3" s="384"/>
      <c r="R3" s="287"/>
    </row>
    <row r="4" spans="1:22" s="251" customFormat="1" ht="18" customHeight="1">
      <c r="A4" s="287"/>
      <c r="B4" s="265"/>
      <c r="H4" s="287"/>
      <c r="I4" s="384"/>
      <c r="J4" s="265"/>
      <c r="M4" s="287"/>
      <c r="Q4" s="384"/>
      <c r="R4" s="287"/>
    </row>
    <row r="5" spans="1:22" s="251" customFormat="1" ht="20" customHeight="1">
      <c r="A5" s="287"/>
      <c r="B5" s="265"/>
      <c r="H5" s="287"/>
      <c r="I5" s="384"/>
      <c r="J5" s="265"/>
      <c r="M5" s="287"/>
      <c r="Q5" s="384"/>
      <c r="R5" s="287"/>
    </row>
    <row r="6" spans="1:22" ht="20" customHeight="1">
      <c r="A6" s="106"/>
      <c r="B6" s="226"/>
      <c r="C6" s="104"/>
      <c r="D6" s="104"/>
      <c r="E6" s="104"/>
      <c r="F6" s="104"/>
      <c r="G6" s="104"/>
      <c r="H6" s="106"/>
      <c r="I6" s="108"/>
      <c r="J6" s="226"/>
      <c r="K6" s="104"/>
      <c r="L6" s="104"/>
      <c r="M6" s="106"/>
      <c r="N6" s="104"/>
      <c r="O6" s="104"/>
      <c r="P6" s="386"/>
      <c r="Q6" s="387"/>
      <c r="R6" s="106"/>
      <c r="S6" s="104"/>
      <c r="T6" s="104"/>
      <c r="U6" s="104"/>
      <c r="V6" s="104"/>
    </row>
    <row r="7" spans="1:22" ht="20" customHeight="1">
      <c r="A7" s="106"/>
      <c r="B7" s="520" t="str">
        <f>Lan!$F$84</f>
        <v>3.1. Informe Plan Estratégico</v>
      </c>
      <c r="C7" s="520"/>
      <c r="D7" s="520"/>
      <c r="E7" s="520"/>
      <c r="F7" s="520"/>
      <c r="G7" s="104"/>
      <c r="H7" s="105"/>
      <c r="I7" s="104"/>
      <c r="J7" s="231"/>
      <c r="K7" s="104"/>
      <c r="L7" s="104"/>
      <c r="M7" s="106"/>
      <c r="N7" s="518" t="str">
        <f>Lan!F76</f>
        <v>Seleccione</v>
      </c>
      <c r="O7" s="518"/>
      <c r="P7" s="279" t="s">
        <v>75</v>
      </c>
      <c r="Q7" s="387"/>
      <c r="R7" s="106"/>
      <c r="S7" s="396" t="s">
        <v>311</v>
      </c>
      <c r="T7" s="104"/>
      <c r="U7" s="104"/>
      <c r="V7" s="104"/>
    </row>
    <row r="8" spans="1:22" ht="20" customHeight="1">
      <c r="A8" s="106"/>
      <c r="B8" s="226"/>
      <c r="C8" s="104"/>
      <c r="D8" s="104"/>
      <c r="E8" s="104"/>
      <c r="F8" s="104"/>
      <c r="G8" s="104"/>
      <c r="H8" s="107"/>
      <c r="I8" s="108"/>
      <c r="J8" s="226"/>
      <c r="K8" s="104"/>
      <c r="L8" s="104"/>
      <c r="M8" s="106"/>
      <c r="N8" s="106"/>
      <c r="O8" s="106"/>
      <c r="P8" s="385"/>
      <c r="Q8" s="387"/>
      <c r="R8" s="106"/>
      <c r="S8" s="104"/>
      <c r="T8" s="104"/>
      <c r="U8" s="104"/>
      <c r="V8" s="104"/>
    </row>
    <row r="9" spans="1:22" ht="20" customHeight="1">
      <c r="A9" s="106"/>
      <c r="B9" s="517" t="str">
        <f>IF(Goals!C12="","",Goals!C12)</f>
        <v>Expandir la presencia nacional de Caracolitos mediante la apertura de nuevas sucursales.</v>
      </c>
      <c r="C9" s="517"/>
      <c r="D9" s="517"/>
      <c r="E9" s="104"/>
      <c r="F9" s="104"/>
      <c r="G9" s="104"/>
      <c r="H9" s="109"/>
      <c r="I9" s="108"/>
      <c r="J9" s="517" t="str">
        <f>IF(Goals!C13="","",Goals!C13)</f>
        <v>Mejorar la productividad de los procesos operativos en planta.</v>
      </c>
      <c r="K9" s="517"/>
      <c r="L9" s="517"/>
      <c r="M9" s="104"/>
      <c r="N9" s="104"/>
      <c r="O9" s="104"/>
      <c r="P9" s="104"/>
      <c r="Q9" s="108"/>
      <c r="R9" s="106"/>
      <c r="S9" s="106"/>
      <c r="T9" s="106"/>
      <c r="U9" s="106"/>
      <c r="V9" s="106"/>
    </row>
    <row r="10" spans="1:22" ht="20" customHeight="1">
      <c r="A10" s="106"/>
      <c r="B10" s="517"/>
      <c r="C10" s="517"/>
      <c r="D10" s="517"/>
      <c r="E10" s="110"/>
      <c r="F10" s="519"/>
      <c r="G10" s="519"/>
      <c r="H10" s="519"/>
      <c r="I10" s="108"/>
      <c r="J10" s="517"/>
      <c r="K10" s="517"/>
      <c r="L10" s="517"/>
      <c r="M10" s="110"/>
      <c r="N10" s="110"/>
      <c r="O10" s="110"/>
      <c r="P10" s="110"/>
      <c r="Q10" s="108"/>
      <c r="R10" s="106"/>
      <c r="S10" s="106"/>
      <c r="T10" s="106"/>
      <c r="U10" s="106"/>
      <c r="V10" s="106"/>
    </row>
    <row r="11" spans="1:22" ht="20" customHeight="1">
      <c r="A11" s="106"/>
      <c r="B11" s="517"/>
      <c r="C11" s="517"/>
      <c r="D11" s="517"/>
      <c r="E11" s="110"/>
      <c r="F11" s="519"/>
      <c r="G11" s="519"/>
      <c r="H11" s="519"/>
      <c r="I11" s="108"/>
      <c r="J11" s="517"/>
      <c r="K11" s="517"/>
      <c r="L11" s="517"/>
      <c r="M11" s="110"/>
      <c r="N11" s="110"/>
      <c r="O11" s="110"/>
      <c r="P11" s="110"/>
      <c r="Q11" s="108"/>
      <c r="R11" s="106"/>
      <c r="S11" s="106"/>
      <c r="T11" s="106"/>
      <c r="U11" s="106"/>
      <c r="V11" s="106"/>
    </row>
    <row r="12" spans="1:22" s="243" customFormat="1" ht="27" customHeight="1">
      <c r="A12" s="389"/>
      <c r="B12" s="227" t="str">
        <f>'KPI1'!$B$11</f>
        <v>Objetivos</v>
      </c>
      <c r="C12" s="222" t="s">
        <v>102</v>
      </c>
      <c r="D12" s="222" t="str">
        <f>'KPI1'!$D$12</f>
        <v>Actual</v>
      </c>
      <c r="E12" s="222" t="str">
        <f>'KPI1'!$D$13</f>
        <v>Meta</v>
      </c>
      <c r="F12" s="222" t="str">
        <f>'KPI1'!$D$14</f>
        <v>%</v>
      </c>
      <c r="G12" s="223" t="str">
        <f>Lan!$F$70</f>
        <v>Status</v>
      </c>
      <c r="H12" s="223" t="str">
        <f>Lan!$F$52</f>
        <v>Tendencia</v>
      </c>
      <c r="I12" s="224"/>
      <c r="J12" s="227" t="str">
        <f>'KPI1'!$B$11</f>
        <v>Objetivos</v>
      </c>
      <c r="K12" s="222" t="s">
        <v>102</v>
      </c>
      <c r="L12" s="222" t="str">
        <f>'KPI1'!$D$12</f>
        <v>Actual</v>
      </c>
      <c r="M12" s="222" t="str">
        <f>'KPI1'!$D$13</f>
        <v>Meta</v>
      </c>
      <c r="N12" s="222" t="str">
        <f>'KPI1'!$D$14</f>
        <v>%</v>
      </c>
      <c r="O12" s="223" t="str">
        <f>Lan!$F$70</f>
        <v>Status</v>
      </c>
      <c r="P12" s="223" t="str">
        <f>Lan!$F$52</f>
        <v>Tendencia</v>
      </c>
      <c r="Q12" s="224"/>
      <c r="R12" s="389"/>
      <c r="S12" s="389"/>
      <c r="T12" s="389"/>
      <c r="U12" s="389"/>
      <c r="V12" s="389"/>
    </row>
    <row r="13" spans="1:22" ht="27" customHeight="1">
      <c r="A13" s="106"/>
      <c r="B13" s="228" t="str">
        <f>IF(AuxR!C20="","",AuxR!C20)</f>
        <v>Abrir 2 nuevas sucursales en ciudades turísticas del país antes de julio de 2026.</v>
      </c>
      <c r="C13" s="111" t="str">
        <f>IF(B13="","",AuxR!D20)</f>
        <v>↑</v>
      </c>
      <c r="D13" s="111">
        <f>IF(B13="","",AuxR!$G20)</f>
        <v>678</v>
      </c>
      <c r="E13" s="111">
        <f>IF(B13="","",AuxR!$H20)</f>
        <v>614</v>
      </c>
      <c r="F13" s="112">
        <f>IF(B13="","",AuxR!I20)</f>
        <v>1.1042345276872965</v>
      </c>
      <c r="G13" s="113" t="str">
        <f>IF(B13="","","●")</f>
        <v>●</v>
      </c>
      <c r="H13" s="114"/>
      <c r="I13" s="115">
        <f>IF(B13="","",AuxR!J20)</f>
        <v>1</v>
      </c>
      <c r="J13" s="228" t="str">
        <f>IF(AuxR!C30="","",AuxR!C30)</f>
        <v>Reducir en 15% los tiempos de producción promedio por lote para diciembre 2025.</v>
      </c>
      <c r="K13" s="111" t="str">
        <f>IF(J13="","",AuxR!D30)</f>
        <v>↓</v>
      </c>
      <c r="L13" s="111">
        <f>IF(J13="","",AuxR!$G30)</f>
        <v>2.1666666666666665</v>
      </c>
      <c r="M13" s="111">
        <f>IF(J13="","",AuxR!$H30)</f>
        <v>1.6666666666666667</v>
      </c>
      <c r="N13" s="112">
        <f>IF(J13="","",AuxR!I30)</f>
        <v>1.2999999999999998</v>
      </c>
      <c r="O13" s="113" t="str">
        <f t="shared" ref="O13:O22" si="0">IF(J13="","","●")</f>
        <v>●</v>
      </c>
      <c r="P13" s="116"/>
      <c r="Q13" s="108">
        <f>IF(J13="","",AuxR!J30)</f>
        <v>0</v>
      </c>
      <c r="R13" s="106"/>
      <c r="S13" s="106"/>
      <c r="T13" s="106"/>
      <c r="U13" s="106"/>
      <c r="V13" s="106"/>
    </row>
    <row r="14" spans="1:22" ht="27" customHeight="1">
      <c r="A14" s="106"/>
      <c r="B14" s="228" t="str">
        <f>IF(AuxR!C21="","",AuxR!C21)</f>
        <v/>
      </c>
      <c r="C14" s="111" t="str">
        <f>IF(B14="","",AuxR!D21)</f>
        <v/>
      </c>
      <c r="D14" s="111" t="str">
        <f>IF(B14="","",AuxR!$G21)</f>
        <v/>
      </c>
      <c r="E14" s="111" t="str">
        <f>IF(B14="","",AuxR!$H21)</f>
        <v/>
      </c>
      <c r="F14" s="112" t="str">
        <f>IF(B14="","",AuxR!I21)</f>
        <v/>
      </c>
      <c r="G14" s="113" t="str">
        <f t="shared" ref="G14:G22" si="1">IF(B14="","","●")</f>
        <v/>
      </c>
      <c r="H14" s="114"/>
      <c r="I14" s="115" t="str">
        <f>IF(B14="","",AuxR!J21)</f>
        <v/>
      </c>
      <c r="J14" s="228" t="str">
        <f>IF(AuxR!C31="","",AuxR!C31)</f>
        <v/>
      </c>
      <c r="K14" s="111" t="str">
        <f>IF(J14="","",AuxR!D31)</f>
        <v/>
      </c>
      <c r="L14" s="111" t="str">
        <f>IF(J14="","",AuxR!$G31)</f>
        <v/>
      </c>
      <c r="M14" s="111" t="str">
        <f>IF(J14="","",AuxR!$H31)</f>
        <v/>
      </c>
      <c r="N14" s="112" t="str">
        <f>IF(J14="","",AuxR!I31)</f>
        <v/>
      </c>
      <c r="O14" s="113" t="str">
        <f t="shared" si="0"/>
        <v/>
      </c>
      <c r="P14" s="116"/>
      <c r="Q14" s="108" t="str">
        <f>IF(J14="","",AuxR!J31)</f>
        <v/>
      </c>
      <c r="R14" s="106"/>
      <c r="S14" s="106"/>
      <c r="T14" s="106"/>
      <c r="U14" s="106"/>
      <c r="V14" s="106"/>
    </row>
    <row r="15" spans="1:22" ht="27" customHeight="1">
      <c r="A15" s="106"/>
      <c r="B15" s="228" t="str">
        <f>IF(AuxR!C22="","",AuxR!C22)</f>
        <v/>
      </c>
      <c r="C15" s="111" t="str">
        <f>IF(B15="","",AuxR!D22)</f>
        <v/>
      </c>
      <c r="D15" s="111" t="str">
        <f>IF(B15="","",AuxR!$G22)</f>
        <v/>
      </c>
      <c r="E15" s="111" t="str">
        <f>IF(B15="","",AuxR!$H22)</f>
        <v/>
      </c>
      <c r="F15" s="112" t="str">
        <f>IF(B15="","",AuxR!I22)</f>
        <v/>
      </c>
      <c r="G15" s="113" t="str">
        <f t="shared" si="1"/>
        <v/>
      </c>
      <c r="H15" s="114"/>
      <c r="I15" s="115" t="str">
        <f>IF(B15="","",AuxR!J22)</f>
        <v/>
      </c>
      <c r="J15" s="228" t="str">
        <f>IF(AuxR!C32="","",AuxR!C32)</f>
        <v/>
      </c>
      <c r="K15" s="111" t="str">
        <f>IF(J15="","",AuxR!D32)</f>
        <v/>
      </c>
      <c r="L15" s="111" t="str">
        <f>IF(J15="","",AuxR!$G32)</f>
        <v/>
      </c>
      <c r="M15" s="111" t="str">
        <f>IF(J15="","",AuxR!$H32)</f>
        <v/>
      </c>
      <c r="N15" s="112" t="str">
        <f>IF(J15="","",AuxR!I32)</f>
        <v/>
      </c>
      <c r="O15" s="113" t="str">
        <f t="shared" si="0"/>
        <v/>
      </c>
      <c r="P15" s="116"/>
      <c r="Q15" s="108" t="str">
        <f>IF(J15="","",AuxR!J32)</f>
        <v/>
      </c>
      <c r="R15" s="106"/>
      <c r="S15" s="106"/>
      <c r="T15" s="106"/>
      <c r="U15" s="106"/>
      <c r="V15" s="106"/>
    </row>
    <row r="16" spans="1:22" ht="27" customHeight="1">
      <c r="A16" s="106"/>
      <c r="B16" s="228" t="str">
        <f>IF(AuxR!C23="","",AuxR!C23)</f>
        <v/>
      </c>
      <c r="C16" s="111" t="str">
        <f>IF(B16="","",AuxR!D23)</f>
        <v/>
      </c>
      <c r="D16" s="111" t="str">
        <f>IF(B16="","",AuxR!$G23)</f>
        <v/>
      </c>
      <c r="E16" s="111" t="str">
        <f>IF(B16="","",AuxR!$H23)</f>
        <v/>
      </c>
      <c r="F16" s="112" t="str">
        <f>IF(B16="","",AuxR!I23)</f>
        <v/>
      </c>
      <c r="G16" s="113" t="str">
        <f t="shared" si="1"/>
        <v/>
      </c>
      <c r="H16" s="114"/>
      <c r="I16" s="115" t="str">
        <f>IF(B16="","",AuxR!J23)</f>
        <v/>
      </c>
      <c r="J16" s="228" t="str">
        <f>IF(AuxR!C33="","",AuxR!C33)</f>
        <v/>
      </c>
      <c r="K16" s="111" t="str">
        <f>IF(J16="","",AuxR!D33)</f>
        <v/>
      </c>
      <c r="L16" s="111" t="str">
        <f>IF(J16="","",AuxR!$G33)</f>
        <v/>
      </c>
      <c r="M16" s="111" t="str">
        <f>IF(J16="","",AuxR!$H33)</f>
        <v/>
      </c>
      <c r="N16" s="112" t="str">
        <f>IF(J16="","",AuxR!I33)</f>
        <v/>
      </c>
      <c r="O16" s="113" t="str">
        <f t="shared" si="0"/>
        <v/>
      </c>
      <c r="P16" s="116"/>
      <c r="Q16" s="108" t="str">
        <f>IF(J16="","",AuxR!J33)</f>
        <v/>
      </c>
      <c r="R16" s="106"/>
      <c r="S16" s="106"/>
      <c r="T16" s="106"/>
      <c r="U16" s="106"/>
      <c r="V16" s="106"/>
    </row>
    <row r="17" spans="1:22" ht="27" customHeight="1">
      <c r="A17" s="106"/>
      <c r="B17" s="228" t="str">
        <f>IF(AuxR!C24="","",AuxR!C24)</f>
        <v/>
      </c>
      <c r="C17" s="111" t="str">
        <f>IF(B17="","",AuxR!D24)</f>
        <v/>
      </c>
      <c r="D17" s="111" t="str">
        <f>IF(B17="","",AuxR!$G24)</f>
        <v/>
      </c>
      <c r="E17" s="111" t="str">
        <f>IF(B17="","",AuxR!$H24)</f>
        <v/>
      </c>
      <c r="F17" s="112" t="str">
        <f>IF(B17="","",AuxR!I24)</f>
        <v/>
      </c>
      <c r="G17" s="113" t="str">
        <f t="shared" si="1"/>
        <v/>
      </c>
      <c r="H17" s="114"/>
      <c r="I17" s="115" t="str">
        <f>IF(B17="","",AuxR!J24)</f>
        <v/>
      </c>
      <c r="J17" s="228" t="str">
        <f>IF(AuxR!C34="","",AuxR!C34)</f>
        <v/>
      </c>
      <c r="K17" s="111" t="str">
        <f>IF(J17="","",AuxR!D34)</f>
        <v/>
      </c>
      <c r="L17" s="111" t="str">
        <f>IF(J17="","",AuxR!$G34)</f>
        <v/>
      </c>
      <c r="M17" s="111" t="str">
        <f>IF(J17="","",AuxR!$H34)</f>
        <v/>
      </c>
      <c r="N17" s="112" t="str">
        <f>IF(J17="","",AuxR!I34)</f>
        <v/>
      </c>
      <c r="O17" s="113" t="str">
        <f t="shared" si="0"/>
        <v/>
      </c>
      <c r="P17" s="116"/>
      <c r="Q17" s="108" t="str">
        <f>IF(J17="","",AuxR!J34)</f>
        <v/>
      </c>
      <c r="R17" s="106"/>
      <c r="S17" s="106"/>
      <c r="T17" s="106"/>
      <c r="U17" s="106"/>
      <c r="V17" s="106"/>
    </row>
    <row r="18" spans="1:22" ht="27" customHeight="1">
      <c r="A18" s="106"/>
      <c r="B18" s="228" t="str">
        <f>IF(AuxR!C25="","",AuxR!C25)</f>
        <v/>
      </c>
      <c r="C18" s="111" t="str">
        <f>IF(B18="","",AuxR!D25)</f>
        <v/>
      </c>
      <c r="D18" s="111" t="str">
        <f>IF(B18="","",AuxR!$G25)</f>
        <v/>
      </c>
      <c r="E18" s="111" t="str">
        <f>IF(B18="","",AuxR!$H25)</f>
        <v/>
      </c>
      <c r="F18" s="112" t="str">
        <f>IF(B18="","",AuxR!I25)</f>
        <v/>
      </c>
      <c r="G18" s="113" t="str">
        <f t="shared" si="1"/>
        <v/>
      </c>
      <c r="H18" s="114"/>
      <c r="I18" s="115" t="str">
        <f>IF(B18="","",AuxR!J25)</f>
        <v/>
      </c>
      <c r="J18" s="228" t="str">
        <f>IF(AuxR!C35="","",AuxR!C35)</f>
        <v/>
      </c>
      <c r="K18" s="111" t="str">
        <f>IF(J18="","",AuxR!D35)</f>
        <v/>
      </c>
      <c r="L18" s="111" t="str">
        <f>IF(J18="","",AuxR!$G35)</f>
        <v/>
      </c>
      <c r="M18" s="111" t="str">
        <f>IF(J18="","",AuxR!$H35)</f>
        <v/>
      </c>
      <c r="N18" s="112" t="str">
        <f>IF(J18="","",AuxR!I35)</f>
        <v/>
      </c>
      <c r="O18" s="113" t="str">
        <f t="shared" si="0"/>
        <v/>
      </c>
      <c r="P18" s="116"/>
      <c r="Q18" s="108" t="str">
        <f>IF(J18="","",AuxR!J35)</f>
        <v/>
      </c>
      <c r="R18" s="106"/>
      <c r="S18" s="106"/>
      <c r="T18" s="106"/>
      <c r="U18" s="106"/>
      <c r="V18" s="106"/>
    </row>
    <row r="19" spans="1:22" ht="27" customHeight="1">
      <c r="A19" s="106"/>
      <c r="B19" s="228" t="str">
        <f>IF(AuxR!C26="","",AuxR!C26)</f>
        <v/>
      </c>
      <c r="C19" s="111" t="str">
        <f>IF(B19="","",AuxR!D26)</f>
        <v/>
      </c>
      <c r="D19" s="111" t="str">
        <f>IF(B19="","",AuxR!$G26)</f>
        <v/>
      </c>
      <c r="E19" s="111" t="str">
        <f>IF(B19="","",AuxR!$H26)</f>
        <v/>
      </c>
      <c r="F19" s="112" t="str">
        <f>IF(B19="","",AuxR!I26)</f>
        <v/>
      </c>
      <c r="G19" s="113" t="str">
        <f t="shared" si="1"/>
        <v/>
      </c>
      <c r="H19" s="114"/>
      <c r="I19" s="115" t="str">
        <f>IF(B19="","",AuxR!J26)</f>
        <v/>
      </c>
      <c r="J19" s="228" t="str">
        <f>IF(AuxR!C36="","",AuxR!C36)</f>
        <v/>
      </c>
      <c r="K19" s="111" t="str">
        <f>IF(J19="","",AuxR!D36)</f>
        <v/>
      </c>
      <c r="L19" s="111" t="str">
        <f>IF(J19="","",AuxR!$G36)</f>
        <v/>
      </c>
      <c r="M19" s="111" t="str">
        <f>IF(J19="","",AuxR!$H36)</f>
        <v/>
      </c>
      <c r="N19" s="112" t="str">
        <f>IF(J19="","",AuxR!I36)</f>
        <v/>
      </c>
      <c r="O19" s="113" t="str">
        <f t="shared" si="0"/>
        <v/>
      </c>
      <c r="P19" s="116"/>
      <c r="Q19" s="108" t="str">
        <f>IF(J19="","",AuxR!J36)</f>
        <v/>
      </c>
      <c r="R19" s="106"/>
      <c r="S19" s="106"/>
      <c r="T19" s="106"/>
      <c r="U19" s="106"/>
      <c r="V19" s="106"/>
    </row>
    <row r="20" spans="1:22" ht="27" customHeight="1">
      <c r="A20" s="106"/>
      <c r="B20" s="228" t="str">
        <f>IF(AuxR!C27="","",AuxR!C27)</f>
        <v/>
      </c>
      <c r="C20" s="111" t="str">
        <f>IF(B20="","",AuxR!D27)</f>
        <v/>
      </c>
      <c r="D20" s="111" t="str">
        <f>IF(B20="","",AuxR!$G27)</f>
        <v/>
      </c>
      <c r="E20" s="111" t="str">
        <f>IF(B20="","",AuxR!$H27)</f>
        <v/>
      </c>
      <c r="F20" s="112" t="str">
        <f>IF(B20="","",AuxR!I27)</f>
        <v/>
      </c>
      <c r="G20" s="113" t="str">
        <f t="shared" si="1"/>
        <v/>
      </c>
      <c r="H20" s="114"/>
      <c r="I20" s="115" t="str">
        <f>IF(B20="","",AuxR!J27)</f>
        <v/>
      </c>
      <c r="J20" s="228" t="str">
        <f>IF(AuxR!C37="","",AuxR!C37)</f>
        <v/>
      </c>
      <c r="K20" s="111" t="str">
        <f>IF(J20="","",AuxR!D37)</f>
        <v/>
      </c>
      <c r="L20" s="111" t="str">
        <f>IF(J20="","",AuxR!$G37)</f>
        <v/>
      </c>
      <c r="M20" s="111" t="str">
        <f>IF(J20="","",AuxR!$H37)</f>
        <v/>
      </c>
      <c r="N20" s="112" t="str">
        <f>IF(J20="","",AuxR!I37)</f>
        <v/>
      </c>
      <c r="O20" s="113" t="str">
        <f t="shared" si="0"/>
        <v/>
      </c>
      <c r="P20" s="116"/>
      <c r="Q20" s="108" t="str">
        <f>IF(J20="","",AuxR!J37)</f>
        <v/>
      </c>
      <c r="R20" s="106"/>
      <c r="S20" s="106"/>
      <c r="T20" s="106"/>
      <c r="U20" s="106"/>
      <c r="V20" s="106"/>
    </row>
    <row r="21" spans="1:22" ht="27" customHeight="1">
      <c r="A21" s="106"/>
      <c r="B21" s="228" t="str">
        <f>IF(AuxR!C28="","",AuxR!C28)</f>
        <v/>
      </c>
      <c r="C21" s="111" t="str">
        <f>IF(B21="","",AuxR!D28)</f>
        <v/>
      </c>
      <c r="D21" s="111" t="str">
        <f>IF(B21="","",AuxR!$G28)</f>
        <v/>
      </c>
      <c r="E21" s="111" t="str">
        <f>IF(B21="","",AuxR!$H28)</f>
        <v/>
      </c>
      <c r="F21" s="112" t="str">
        <f>IF(B21="","",AuxR!I28)</f>
        <v/>
      </c>
      <c r="G21" s="113" t="str">
        <f t="shared" si="1"/>
        <v/>
      </c>
      <c r="H21" s="114"/>
      <c r="I21" s="115" t="str">
        <f>IF(B21="","",AuxR!J28)</f>
        <v/>
      </c>
      <c r="J21" s="228" t="str">
        <f>IF(AuxR!C38="","",AuxR!C38)</f>
        <v/>
      </c>
      <c r="K21" s="111" t="str">
        <f>IF(J21="","",AuxR!D38)</f>
        <v/>
      </c>
      <c r="L21" s="111" t="str">
        <f>IF(J21="","",AuxR!$G38)</f>
        <v/>
      </c>
      <c r="M21" s="111" t="str">
        <f>IF(J21="","",AuxR!$H38)</f>
        <v/>
      </c>
      <c r="N21" s="112" t="str">
        <f>IF(J21="","",AuxR!I38)</f>
        <v/>
      </c>
      <c r="O21" s="113" t="str">
        <f t="shared" si="0"/>
        <v/>
      </c>
      <c r="P21" s="116"/>
      <c r="Q21" s="108" t="str">
        <f>IF(J21="","",AuxR!J38)</f>
        <v/>
      </c>
      <c r="R21" s="106"/>
      <c r="S21" s="106"/>
      <c r="T21" s="106"/>
      <c r="U21" s="106"/>
      <c r="V21" s="106"/>
    </row>
    <row r="22" spans="1:22" ht="27" customHeight="1">
      <c r="A22" s="106"/>
      <c r="B22" s="228" t="str">
        <f>IF(AuxR!C29="","",AuxR!C29)</f>
        <v/>
      </c>
      <c r="C22" s="111" t="str">
        <f>IF(B22="","",AuxR!D29)</f>
        <v/>
      </c>
      <c r="D22" s="111" t="str">
        <f>IF(B22="","",AuxR!$G29)</f>
        <v/>
      </c>
      <c r="E22" s="111" t="str">
        <f>IF(B22="","",AuxR!$H29)</f>
        <v/>
      </c>
      <c r="F22" s="112" t="str">
        <f>IF(B22="","",AuxR!I29)</f>
        <v/>
      </c>
      <c r="G22" s="113" t="str">
        <f t="shared" si="1"/>
        <v/>
      </c>
      <c r="H22" s="114"/>
      <c r="I22" s="115" t="str">
        <f>IF(B22="","",AuxR!J29)</f>
        <v/>
      </c>
      <c r="J22" s="228" t="str">
        <f>IF(AuxR!C39="","",AuxR!C39)</f>
        <v/>
      </c>
      <c r="K22" s="111" t="str">
        <f>IF(J22="","",AuxR!D39)</f>
        <v/>
      </c>
      <c r="L22" s="111" t="str">
        <f>IF(J22="","",AuxR!$G39)</f>
        <v/>
      </c>
      <c r="M22" s="111" t="str">
        <f>IF(J22="","",AuxR!$H39)</f>
        <v/>
      </c>
      <c r="N22" s="112" t="str">
        <f>IF(J22="","",AuxR!I39)</f>
        <v/>
      </c>
      <c r="O22" s="113" t="str">
        <f t="shared" si="0"/>
        <v/>
      </c>
      <c r="P22" s="116"/>
      <c r="Q22" s="108" t="str">
        <f>IF(J22="","",AuxR!J39)</f>
        <v/>
      </c>
      <c r="R22" s="106"/>
      <c r="S22" s="106"/>
      <c r="T22" s="106"/>
      <c r="U22" s="106"/>
      <c r="V22" s="106"/>
    </row>
    <row r="23" spans="1:22" ht="20" customHeight="1">
      <c r="A23" s="106"/>
      <c r="B23" s="229"/>
      <c r="C23" s="117"/>
      <c r="D23" s="117"/>
      <c r="E23" s="117"/>
      <c r="F23" s="117"/>
      <c r="G23" s="117"/>
      <c r="H23" s="117"/>
      <c r="I23" s="108"/>
      <c r="J23" s="226"/>
      <c r="K23" s="104"/>
      <c r="L23" s="104"/>
      <c r="M23" s="104"/>
      <c r="N23" s="104"/>
      <c r="O23" s="104"/>
      <c r="P23" s="104"/>
      <c r="Q23" s="108"/>
      <c r="R23" s="106"/>
      <c r="S23" s="106"/>
      <c r="T23" s="106"/>
      <c r="U23" s="106"/>
      <c r="V23" s="106"/>
    </row>
    <row r="24" spans="1:22" ht="20" customHeight="1">
      <c r="A24" s="106"/>
      <c r="B24" s="517" t="str">
        <f>IF(Goals!C14="","",Goals!C14)</f>
        <v>Fortalecer el posicionamiento de la marca Caracolitos a nivel nacional.</v>
      </c>
      <c r="C24" s="517"/>
      <c r="D24" s="517"/>
      <c r="E24" s="117"/>
      <c r="F24" s="117"/>
      <c r="G24" s="117"/>
      <c r="H24" s="117"/>
      <c r="I24" s="108"/>
      <c r="J24" s="517" t="str">
        <f>IF(Goals!C15="","",Goals!C15)</f>
        <v>Asegurar la calidad e inocuidad de los productos en todos los procesos de la planta.</v>
      </c>
      <c r="K24" s="517"/>
      <c r="L24" s="517"/>
      <c r="M24" s="104"/>
      <c r="N24" s="104"/>
      <c r="O24" s="104"/>
      <c r="P24" s="104"/>
      <c r="Q24" s="108"/>
      <c r="R24" s="106"/>
      <c r="S24" s="106"/>
      <c r="T24" s="106"/>
      <c r="U24" s="106"/>
      <c r="V24" s="106"/>
    </row>
    <row r="25" spans="1:22" ht="20" customHeight="1">
      <c r="A25" s="106"/>
      <c r="B25" s="517"/>
      <c r="C25" s="517"/>
      <c r="D25" s="517"/>
      <c r="E25" s="110"/>
      <c r="F25" s="110"/>
      <c r="G25" s="110"/>
      <c r="H25" s="106"/>
      <c r="I25" s="108"/>
      <c r="J25" s="517"/>
      <c r="K25" s="517"/>
      <c r="L25" s="517"/>
      <c r="M25" s="110"/>
      <c r="N25" s="110"/>
      <c r="O25" s="110"/>
      <c r="P25" s="117"/>
      <c r="Q25" s="108"/>
      <c r="R25" s="106"/>
      <c r="S25" s="106"/>
      <c r="T25" s="106"/>
      <c r="U25" s="106"/>
      <c r="V25" s="106"/>
    </row>
    <row r="26" spans="1:22" ht="20" customHeight="1">
      <c r="A26" s="106"/>
      <c r="B26" s="517"/>
      <c r="C26" s="517"/>
      <c r="D26" s="517"/>
      <c r="E26" s="106"/>
      <c r="F26" s="106"/>
      <c r="G26" s="106"/>
      <c r="H26" s="106"/>
      <c r="I26" s="108"/>
      <c r="J26" s="517"/>
      <c r="K26" s="517"/>
      <c r="L26" s="517"/>
      <c r="M26" s="117"/>
      <c r="N26" s="117"/>
      <c r="O26" s="117"/>
      <c r="P26" s="117"/>
      <c r="Q26" s="108"/>
      <c r="R26" s="106"/>
      <c r="S26" s="106"/>
      <c r="T26" s="106"/>
      <c r="U26" s="106"/>
      <c r="V26" s="106"/>
    </row>
    <row r="27" spans="1:22" ht="27" customHeight="1">
      <c r="A27" s="106"/>
      <c r="B27" s="227" t="str">
        <f>'KPI1'!$B$11</f>
        <v>Objetivos</v>
      </c>
      <c r="C27" s="222" t="s">
        <v>102</v>
      </c>
      <c r="D27" s="222" t="str">
        <f>'KPI1'!$D$12</f>
        <v>Actual</v>
      </c>
      <c r="E27" s="222" t="str">
        <f>'KPI1'!$D$13</f>
        <v>Meta</v>
      </c>
      <c r="F27" s="222" t="str">
        <f>'KPI1'!$D$14</f>
        <v>%</v>
      </c>
      <c r="G27" s="223" t="str">
        <f>Lan!$F$70</f>
        <v>Status</v>
      </c>
      <c r="H27" s="223" t="str">
        <f>Lan!$F$52</f>
        <v>Tendencia</v>
      </c>
      <c r="I27" s="108"/>
      <c r="J27" s="227" t="str">
        <f>'KPI1'!$B$11</f>
        <v>Objetivos</v>
      </c>
      <c r="K27" s="222" t="s">
        <v>102</v>
      </c>
      <c r="L27" s="222" t="str">
        <f>'KPI1'!$D$12</f>
        <v>Actual</v>
      </c>
      <c r="M27" s="222" t="str">
        <f>'KPI1'!$D$13</f>
        <v>Meta</v>
      </c>
      <c r="N27" s="222" t="str">
        <f>'KPI1'!$D$14</f>
        <v>%</v>
      </c>
      <c r="O27" s="223" t="str">
        <f>Lan!$F$70</f>
        <v>Status</v>
      </c>
      <c r="P27" s="223" t="str">
        <f>Lan!$F$52</f>
        <v>Tendencia</v>
      </c>
      <c r="Q27" s="108"/>
      <c r="R27" s="106"/>
      <c r="S27" s="106"/>
      <c r="T27" s="106"/>
      <c r="U27" s="106"/>
      <c r="V27" s="106"/>
    </row>
    <row r="28" spans="1:22" ht="27" customHeight="1">
      <c r="A28" s="106"/>
      <c r="B28" s="228" t="str">
        <f>IF(AuxR!C40="","",AuxR!C40)</f>
        <v>Incrementar en 30% el reconocimiento de marca en redes sociales antes de junio de 2026.</v>
      </c>
      <c r="C28" s="111" t="str">
        <f>IF(B28="","",AuxR!D40)</f>
        <v>↑</v>
      </c>
      <c r="D28" s="111">
        <f>IF(B28="","",AuxR!$G40)</f>
        <v>14523</v>
      </c>
      <c r="E28" s="111">
        <f>IF(B28="","",AuxR!$H40)</f>
        <v>10000</v>
      </c>
      <c r="F28" s="112">
        <f>IF(B28="","",AuxR!I40)</f>
        <v>1.4522999999999999</v>
      </c>
      <c r="G28" s="113" t="str">
        <f>IF(B28="","","●")</f>
        <v>●</v>
      </c>
      <c r="H28" s="114"/>
      <c r="I28" s="108">
        <f>IF(B28="","",AuxR!J40)</f>
        <v>1</v>
      </c>
      <c r="J28" s="228" t="str">
        <f>IF(AuxR!C50="","",AuxR!C50)</f>
        <v>Obtener la certificación de Buenas Prácticas de Manufactura antes de noviembre de 2026.</v>
      </c>
      <c r="K28" s="111" t="str">
        <f>IF(J28="","",AuxR!$D50)</f>
        <v>↑</v>
      </c>
      <c r="L28" s="111">
        <f>IF(J28="","",AuxR!$G50)</f>
        <v>0.54999999999999993</v>
      </c>
      <c r="M28" s="111">
        <f>IF(J28="","",AuxR!$H50)</f>
        <v>0.6</v>
      </c>
      <c r="N28" s="112">
        <f>IF(J28="","",AuxR!$I50)</f>
        <v>0.91666666666666663</v>
      </c>
      <c r="O28" s="113" t="str">
        <f>IF(J28="","","●")</f>
        <v>●</v>
      </c>
      <c r="P28" s="116"/>
      <c r="Q28" s="108">
        <f>IF(J28="","",AuxR!$J50)</f>
        <v>1</v>
      </c>
      <c r="R28" s="106"/>
      <c r="S28" s="106"/>
      <c r="T28" s="106"/>
      <c r="U28" s="106"/>
      <c r="V28" s="106"/>
    </row>
    <row r="29" spans="1:22" ht="27" customHeight="1">
      <c r="A29" s="106"/>
      <c r="B29" s="228" t="str">
        <f>IF(AuxR!C41="","",AuxR!C41)</f>
        <v>Lograr que 60% de los visitantes recomienden nuestros productos en encuestas de salida para diciembre de 2025.</v>
      </c>
      <c r="C29" s="111" t="str">
        <f>IF(B29="","",AuxR!D41)</f>
        <v>↑</v>
      </c>
      <c r="D29" s="111">
        <f>IF(B29="","",AuxR!$G41)</f>
        <v>7.833333333333333</v>
      </c>
      <c r="E29" s="111">
        <f>IF(B29="","",AuxR!$H41)</f>
        <v>8</v>
      </c>
      <c r="F29" s="112">
        <f>IF(B29="","",AuxR!I41)</f>
        <v>0.97916666666666663</v>
      </c>
      <c r="G29" s="113" t="str">
        <f t="shared" ref="G29:G37" si="2">IF(B29="","","●")</f>
        <v>●</v>
      </c>
      <c r="H29" s="114"/>
      <c r="I29" s="108">
        <f>IF(B29="","",AuxR!J41)</f>
        <v>1</v>
      </c>
      <c r="J29" s="228" t="str">
        <f>IF(AuxR!C51="","",AuxR!C51)</f>
        <v>Reducir en 50% las devoluciones por defectos en producto para diciembre de 2025.</v>
      </c>
      <c r="K29" s="111" t="str">
        <f>IF(J29="","",AuxR!$D51)</f>
        <v>↓</v>
      </c>
      <c r="L29" s="111">
        <f>IF(J29="","",AuxR!$G51)</f>
        <v>2.5000000000000001E-2</v>
      </c>
      <c r="M29" s="111">
        <f>IF(J29="","",AuxR!$H51)</f>
        <v>0.02</v>
      </c>
      <c r="N29" s="112">
        <f>IF(J29="","",AuxR!$I51)</f>
        <v>1.25</v>
      </c>
      <c r="O29" s="113" t="str">
        <f t="shared" ref="O29:O37" si="3">IF(J29="","","●")</f>
        <v>●</v>
      </c>
      <c r="P29" s="116"/>
      <c r="Q29" s="108">
        <f>IF(J29="","",AuxR!$J51)</f>
        <v>0</v>
      </c>
      <c r="R29" s="106"/>
      <c r="S29" s="106"/>
      <c r="T29" s="106"/>
      <c r="U29" s="106"/>
      <c r="V29" s="106"/>
    </row>
    <row r="30" spans="1:22" ht="27" customHeight="1">
      <c r="A30" s="106"/>
      <c r="B30" s="228">
        <f>IF(AuxR!C42="","",AuxR!C42)</f>
        <v>0</v>
      </c>
      <c r="C30" s="111">
        <f>IF(B30="","",AuxR!D42)</f>
        <v>0</v>
      </c>
      <c r="D30" s="111" t="str">
        <f>IF(B30="","",AuxR!$G42)</f>
        <v/>
      </c>
      <c r="E30" s="111" t="str">
        <f>IF(B30="","",AuxR!$H42)</f>
        <v/>
      </c>
      <c r="F30" s="112" t="str">
        <f>IF(B30="","",AuxR!I42)</f>
        <v/>
      </c>
      <c r="G30" s="113" t="str">
        <f t="shared" si="2"/>
        <v>●</v>
      </c>
      <c r="H30" s="114"/>
      <c r="I30" s="108">
        <f>IF(B30="","",AuxR!J42)</f>
        <v>0</v>
      </c>
      <c r="J30" s="228">
        <f>IF(AuxR!C52="","",AuxR!C52)</f>
        <v>0</v>
      </c>
      <c r="K30" s="111">
        <f>IF(J30="","",AuxR!$D52)</f>
        <v>0</v>
      </c>
      <c r="L30" s="111" t="str">
        <f>IF(J30="","",AuxR!$G52)</f>
        <v/>
      </c>
      <c r="M30" s="111" t="str">
        <f>IF(J30="","",AuxR!$H52)</f>
        <v/>
      </c>
      <c r="N30" s="112" t="str">
        <f>IF(J30="","",AuxR!$I52)</f>
        <v/>
      </c>
      <c r="O30" s="113" t="str">
        <f t="shared" si="3"/>
        <v>●</v>
      </c>
      <c r="P30" s="116"/>
      <c r="Q30" s="108">
        <f>IF(J30="","",AuxR!$J52)</f>
        <v>0</v>
      </c>
      <c r="R30" s="106"/>
      <c r="S30" s="106"/>
      <c r="T30" s="106"/>
      <c r="U30" s="106"/>
      <c r="V30" s="106"/>
    </row>
    <row r="31" spans="1:22" ht="27" customHeight="1">
      <c r="A31" s="106"/>
      <c r="B31" s="228" t="str">
        <f>IF(AuxR!C43="","",AuxR!C43)</f>
        <v/>
      </c>
      <c r="C31" s="111" t="str">
        <f>IF(B31="","",AuxR!D43)</f>
        <v/>
      </c>
      <c r="D31" s="111" t="str">
        <f>IF(B31="","",AuxR!$G43)</f>
        <v/>
      </c>
      <c r="E31" s="111" t="str">
        <f>IF(B31="","",AuxR!$H43)</f>
        <v/>
      </c>
      <c r="F31" s="112" t="str">
        <f>IF(B31="","",AuxR!I43)</f>
        <v/>
      </c>
      <c r="G31" s="113" t="str">
        <f t="shared" si="2"/>
        <v/>
      </c>
      <c r="H31" s="114"/>
      <c r="I31" s="108" t="str">
        <f>IF(B31="","",AuxR!J43)</f>
        <v/>
      </c>
      <c r="J31" s="228" t="str">
        <f>IF(AuxR!C53="","",AuxR!C53)</f>
        <v/>
      </c>
      <c r="K31" s="111" t="str">
        <f>IF(J31="","",AuxR!$D53)</f>
        <v/>
      </c>
      <c r="L31" s="111" t="str">
        <f>IF(J31="","",AuxR!$G53)</f>
        <v/>
      </c>
      <c r="M31" s="111" t="str">
        <f>IF(J31="","",AuxR!$H53)</f>
        <v/>
      </c>
      <c r="N31" s="112" t="str">
        <f>IF(J31="","",AuxR!$I53)</f>
        <v/>
      </c>
      <c r="O31" s="113" t="str">
        <f t="shared" si="3"/>
        <v/>
      </c>
      <c r="P31" s="116"/>
      <c r="Q31" s="108" t="str">
        <f>IF(J31="","",AuxR!$J53)</f>
        <v/>
      </c>
      <c r="R31" s="106"/>
      <c r="S31" s="106"/>
      <c r="T31" s="106"/>
      <c r="U31" s="106"/>
      <c r="V31" s="106"/>
    </row>
    <row r="32" spans="1:22" ht="27" customHeight="1">
      <c r="A32" s="106"/>
      <c r="B32" s="228" t="str">
        <f>IF(AuxR!C44="","",AuxR!C44)</f>
        <v/>
      </c>
      <c r="C32" s="111" t="str">
        <f>IF(B32="","",AuxR!D44)</f>
        <v/>
      </c>
      <c r="D32" s="111" t="str">
        <f>IF(B32="","",AuxR!$G44)</f>
        <v/>
      </c>
      <c r="E32" s="111" t="str">
        <f>IF(B32="","",AuxR!$H44)</f>
        <v/>
      </c>
      <c r="F32" s="112" t="str">
        <f>IF(B32="","",AuxR!I44)</f>
        <v/>
      </c>
      <c r="G32" s="113" t="str">
        <f t="shared" si="2"/>
        <v/>
      </c>
      <c r="H32" s="114"/>
      <c r="I32" s="108" t="str">
        <f>IF(B32="","",AuxR!J44)</f>
        <v/>
      </c>
      <c r="J32" s="228" t="str">
        <f>IF(AuxR!C54="","",AuxR!C54)</f>
        <v/>
      </c>
      <c r="K32" s="111" t="str">
        <f>IF(J32="","",AuxR!$D54)</f>
        <v/>
      </c>
      <c r="L32" s="111" t="str">
        <f>IF(J32="","",AuxR!$G54)</f>
        <v/>
      </c>
      <c r="M32" s="111" t="str">
        <f>IF(J32="","",AuxR!$H54)</f>
        <v/>
      </c>
      <c r="N32" s="112" t="str">
        <f>IF(J32="","",AuxR!$I54)</f>
        <v/>
      </c>
      <c r="O32" s="113" t="str">
        <f t="shared" si="3"/>
        <v/>
      </c>
      <c r="P32" s="116"/>
      <c r="Q32" s="108" t="str">
        <f>IF(J32="","",AuxR!$J54)</f>
        <v/>
      </c>
      <c r="R32" s="106"/>
      <c r="S32" s="106"/>
      <c r="T32" s="106"/>
      <c r="U32" s="106"/>
      <c r="V32" s="106"/>
    </row>
    <row r="33" spans="1:22" ht="27" customHeight="1">
      <c r="A33" s="106"/>
      <c r="B33" s="228" t="str">
        <f>IF(AuxR!C45="","",AuxR!C45)</f>
        <v/>
      </c>
      <c r="C33" s="111" t="str">
        <f>IF(B33="","",AuxR!D45)</f>
        <v/>
      </c>
      <c r="D33" s="111" t="str">
        <f>IF(B33="","",AuxR!$G45)</f>
        <v/>
      </c>
      <c r="E33" s="111" t="str">
        <f>IF(B33="","",AuxR!$H45)</f>
        <v/>
      </c>
      <c r="F33" s="112" t="str">
        <f>IF(B33="","",AuxR!I45)</f>
        <v/>
      </c>
      <c r="G33" s="113" t="str">
        <f t="shared" si="2"/>
        <v/>
      </c>
      <c r="H33" s="114"/>
      <c r="I33" s="108" t="str">
        <f>IF(B33="","",AuxR!J45)</f>
        <v/>
      </c>
      <c r="J33" s="228" t="str">
        <f>IF(AuxR!C55="","",AuxR!C55)</f>
        <v/>
      </c>
      <c r="K33" s="111" t="str">
        <f>IF(J33="","",AuxR!$D55)</f>
        <v/>
      </c>
      <c r="L33" s="111" t="str">
        <f>IF(J33="","",AuxR!$G55)</f>
        <v/>
      </c>
      <c r="M33" s="111" t="str">
        <f>IF(J33="","",AuxR!$H55)</f>
        <v/>
      </c>
      <c r="N33" s="112" t="str">
        <f>IF(J33="","",AuxR!$I55)</f>
        <v/>
      </c>
      <c r="O33" s="113" t="str">
        <f t="shared" si="3"/>
        <v/>
      </c>
      <c r="P33" s="116"/>
      <c r="Q33" s="108" t="str">
        <f>IF(J33="","",AuxR!$J55)</f>
        <v/>
      </c>
      <c r="R33" s="106"/>
      <c r="S33" s="106"/>
      <c r="T33" s="106"/>
      <c r="U33" s="106"/>
      <c r="V33" s="106"/>
    </row>
    <row r="34" spans="1:22" ht="27" customHeight="1">
      <c r="A34" s="106"/>
      <c r="B34" s="228" t="str">
        <f>IF(AuxR!C46="","",AuxR!C46)</f>
        <v/>
      </c>
      <c r="C34" s="111" t="str">
        <f>IF(B34="","",AuxR!D46)</f>
        <v/>
      </c>
      <c r="D34" s="111" t="str">
        <f>IF(B34="","",AuxR!$G46)</f>
        <v/>
      </c>
      <c r="E34" s="111" t="str">
        <f>IF(B34="","",AuxR!$H46)</f>
        <v/>
      </c>
      <c r="F34" s="112" t="str">
        <f>IF(B34="","",AuxR!I46)</f>
        <v/>
      </c>
      <c r="G34" s="113" t="str">
        <f t="shared" si="2"/>
        <v/>
      </c>
      <c r="H34" s="114"/>
      <c r="I34" s="108" t="str">
        <f>IF(B34="","",AuxR!J46)</f>
        <v/>
      </c>
      <c r="J34" s="228" t="str">
        <f>IF(AuxR!C56="","",AuxR!C56)</f>
        <v/>
      </c>
      <c r="K34" s="111" t="str">
        <f>IF(J34="","",AuxR!$D56)</f>
        <v/>
      </c>
      <c r="L34" s="111" t="str">
        <f>IF(J34="","",AuxR!$G56)</f>
        <v/>
      </c>
      <c r="M34" s="111" t="str">
        <f>IF(J34="","",AuxR!$H56)</f>
        <v/>
      </c>
      <c r="N34" s="112" t="str">
        <f>IF(J34="","",AuxR!$I56)</f>
        <v/>
      </c>
      <c r="O34" s="113" t="str">
        <f t="shared" si="3"/>
        <v/>
      </c>
      <c r="P34" s="116"/>
      <c r="Q34" s="108" t="str">
        <f>IF(J34="","",AuxR!$J56)</f>
        <v/>
      </c>
      <c r="R34" s="106"/>
      <c r="S34" s="106"/>
      <c r="T34" s="106"/>
      <c r="U34" s="106"/>
      <c r="V34" s="106"/>
    </row>
    <row r="35" spans="1:22" ht="27" customHeight="1">
      <c r="A35" s="106"/>
      <c r="B35" s="228" t="str">
        <f>IF(AuxR!C47="","",AuxR!C47)</f>
        <v/>
      </c>
      <c r="C35" s="111" t="str">
        <f>IF(B35="","",AuxR!D47)</f>
        <v/>
      </c>
      <c r="D35" s="111" t="str">
        <f>IF(B35="","",AuxR!$G47)</f>
        <v/>
      </c>
      <c r="E35" s="111" t="str">
        <f>IF(B35="","",AuxR!$H47)</f>
        <v/>
      </c>
      <c r="F35" s="112" t="str">
        <f>IF(B35="","",AuxR!I47)</f>
        <v/>
      </c>
      <c r="G35" s="113" t="str">
        <f t="shared" si="2"/>
        <v/>
      </c>
      <c r="H35" s="114"/>
      <c r="I35" s="108" t="str">
        <f>IF(B35="","",AuxR!J47)</f>
        <v/>
      </c>
      <c r="J35" s="228" t="str">
        <f>IF(AuxR!C57="","",AuxR!C57)</f>
        <v/>
      </c>
      <c r="K35" s="111" t="str">
        <f>IF(J35="","",AuxR!$D57)</f>
        <v/>
      </c>
      <c r="L35" s="111" t="str">
        <f>IF(J35="","",AuxR!$G57)</f>
        <v/>
      </c>
      <c r="M35" s="111" t="str">
        <f>IF(J35="","",AuxR!$H57)</f>
        <v/>
      </c>
      <c r="N35" s="112" t="str">
        <f>IF(J35="","",AuxR!$I57)</f>
        <v/>
      </c>
      <c r="O35" s="113" t="str">
        <f t="shared" si="3"/>
        <v/>
      </c>
      <c r="P35" s="116"/>
      <c r="Q35" s="108" t="str">
        <f>IF(J35="","",AuxR!$J57)</f>
        <v/>
      </c>
      <c r="R35" s="106"/>
      <c r="S35" s="106"/>
      <c r="T35" s="106"/>
      <c r="U35" s="106"/>
      <c r="V35" s="106"/>
    </row>
    <row r="36" spans="1:22" ht="27" customHeight="1">
      <c r="A36" s="106"/>
      <c r="B36" s="228" t="str">
        <f>IF(AuxR!C48="","",AuxR!C48)</f>
        <v/>
      </c>
      <c r="C36" s="111" t="str">
        <f>IF(B36="","",AuxR!D48)</f>
        <v/>
      </c>
      <c r="D36" s="111" t="str">
        <f>IF(B36="","",AuxR!$G48)</f>
        <v/>
      </c>
      <c r="E36" s="111" t="str">
        <f>IF(B36="","",AuxR!$H48)</f>
        <v/>
      </c>
      <c r="F36" s="112" t="str">
        <f>IF(B36="","",AuxR!I48)</f>
        <v/>
      </c>
      <c r="G36" s="113" t="str">
        <f t="shared" si="2"/>
        <v/>
      </c>
      <c r="H36" s="114"/>
      <c r="I36" s="108" t="str">
        <f>IF(B36="","",AuxR!J48)</f>
        <v/>
      </c>
      <c r="J36" s="228" t="str">
        <f>IF(AuxR!C58="","",AuxR!C58)</f>
        <v/>
      </c>
      <c r="K36" s="111" t="str">
        <f>IF(J36="","",AuxR!$D58)</f>
        <v/>
      </c>
      <c r="L36" s="111" t="str">
        <f>IF(J36="","",AuxR!$G58)</f>
        <v/>
      </c>
      <c r="M36" s="111" t="str">
        <f>IF(J36="","",AuxR!$H58)</f>
        <v/>
      </c>
      <c r="N36" s="112" t="str">
        <f>IF(J36="","",AuxR!$I58)</f>
        <v/>
      </c>
      <c r="O36" s="113" t="str">
        <f t="shared" si="3"/>
        <v/>
      </c>
      <c r="P36" s="116"/>
      <c r="Q36" s="108" t="str">
        <f>IF(J36="","",AuxR!$J58)</f>
        <v/>
      </c>
      <c r="R36" s="106"/>
      <c r="S36" s="106"/>
      <c r="T36" s="106"/>
      <c r="U36" s="106"/>
      <c r="V36" s="106"/>
    </row>
    <row r="37" spans="1:22" ht="27" customHeight="1">
      <c r="A37" s="106"/>
      <c r="B37" s="228" t="str">
        <f>IF(AuxR!C49="","",AuxR!C49)</f>
        <v/>
      </c>
      <c r="C37" s="111" t="str">
        <f>IF(B37="","",AuxR!D49)</f>
        <v/>
      </c>
      <c r="D37" s="111" t="str">
        <f>IF(B37="","",AuxR!$G49)</f>
        <v/>
      </c>
      <c r="E37" s="111" t="str">
        <f>IF(B37="","",AuxR!$H49)</f>
        <v/>
      </c>
      <c r="F37" s="112" t="str">
        <f>IF(B37="","",AuxR!I49)</f>
        <v/>
      </c>
      <c r="G37" s="113" t="str">
        <f t="shared" si="2"/>
        <v/>
      </c>
      <c r="H37" s="114"/>
      <c r="I37" s="108" t="str">
        <f>IF(B37="","",AuxR!J49)</f>
        <v/>
      </c>
      <c r="J37" s="228" t="str">
        <f>IF(AuxR!C59="","",AuxR!C59)</f>
        <v/>
      </c>
      <c r="K37" s="111" t="str">
        <f>IF(J37="","",AuxR!$D59)</f>
        <v/>
      </c>
      <c r="L37" s="111" t="str">
        <f>IF(J37="","",AuxR!$G59)</f>
        <v/>
      </c>
      <c r="M37" s="111" t="str">
        <f>IF(J37="","",AuxR!$H59)</f>
        <v/>
      </c>
      <c r="N37" s="112" t="str">
        <f>IF(J37="","",AuxR!$I59)</f>
        <v/>
      </c>
      <c r="O37" s="113" t="str">
        <f t="shared" si="3"/>
        <v/>
      </c>
      <c r="P37" s="116"/>
      <c r="Q37" s="108" t="str">
        <f>IF(J37="","",AuxR!$J59)</f>
        <v/>
      </c>
      <c r="R37" s="106"/>
      <c r="S37" s="106"/>
      <c r="T37" s="106"/>
      <c r="U37" s="106"/>
      <c r="V37" s="106"/>
    </row>
    <row r="38" spans="1:22" ht="9" customHeight="1">
      <c r="A38" s="106"/>
      <c r="B38" s="229"/>
      <c r="C38" s="117"/>
      <c r="D38" s="117"/>
      <c r="E38" s="117"/>
      <c r="F38" s="117"/>
      <c r="G38" s="117"/>
      <c r="H38" s="117"/>
      <c r="I38" s="108"/>
      <c r="J38" s="226"/>
      <c r="K38" s="104"/>
      <c r="L38" s="104"/>
      <c r="M38" s="104"/>
      <c r="N38" s="104"/>
      <c r="O38" s="104"/>
      <c r="P38" s="104"/>
      <c r="Q38" s="108"/>
      <c r="R38" s="106"/>
      <c r="S38" s="106"/>
      <c r="T38" s="106"/>
      <c r="U38" s="106"/>
      <c r="V38" s="106"/>
    </row>
    <row r="39" spans="1:22" ht="6" customHeight="1">
      <c r="A39" s="106"/>
      <c r="B39" s="230"/>
      <c r="C39" s="106"/>
      <c r="D39" s="106"/>
      <c r="E39" s="106"/>
      <c r="F39" s="106"/>
      <c r="G39" s="106"/>
      <c r="H39" s="106"/>
      <c r="I39" s="108"/>
      <c r="J39" s="226"/>
      <c r="K39" s="104"/>
      <c r="L39" s="104"/>
      <c r="M39" s="104"/>
      <c r="N39" s="104"/>
      <c r="O39" s="104"/>
      <c r="P39" s="106"/>
      <c r="Q39" s="108"/>
      <c r="R39" s="106"/>
      <c r="S39" s="106"/>
      <c r="T39" s="106"/>
      <c r="U39" s="106"/>
      <c r="V39" s="106"/>
    </row>
    <row r="40" spans="1:22" ht="20" customHeight="1">
      <c r="A40" s="106"/>
      <c r="B40" s="517" t="str">
        <f>IF(Goals!C16="","",Goals!C16)</f>
        <v>Incrementar las ventas a través de plataformas digitales.</v>
      </c>
      <c r="C40" s="517"/>
      <c r="D40" s="517"/>
      <c r="E40" s="225"/>
      <c r="F40" s="106"/>
      <c r="G40" s="106"/>
      <c r="H40" s="106"/>
      <c r="I40" s="108"/>
      <c r="J40" s="517" t="str">
        <f>IF(Goals!C17="","",Goals!C17)</f>
        <v>Desarrollar y fidelizar al talento humano de la empresa.</v>
      </c>
      <c r="K40" s="517"/>
      <c r="L40" s="517"/>
      <c r="M40" s="104"/>
      <c r="N40" s="104"/>
      <c r="O40" s="104"/>
      <c r="P40" s="106"/>
      <c r="Q40" s="108"/>
      <c r="R40" s="106"/>
      <c r="S40" s="106"/>
      <c r="T40" s="106"/>
      <c r="U40" s="106"/>
      <c r="V40" s="106"/>
    </row>
    <row r="41" spans="1:22" ht="20" customHeight="1">
      <c r="A41" s="106"/>
      <c r="B41" s="517"/>
      <c r="C41" s="517"/>
      <c r="D41" s="517"/>
      <c r="E41" s="225"/>
      <c r="F41" s="110"/>
      <c r="G41" s="110"/>
      <c r="H41" s="106"/>
      <c r="I41" s="108"/>
      <c r="J41" s="517"/>
      <c r="K41" s="517"/>
      <c r="L41" s="517"/>
      <c r="M41" s="110"/>
      <c r="N41" s="110"/>
      <c r="O41" s="110"/>
      <c r="P41" s="106"/>
      <c r="Q41" s="108"/>
      <c r="R41" s="106"/>
      <c r="S41" s="106"/>
      <c r="T41" s="106"/>
      <c r="U41" s="106"/>
      <c r="V41" s="106"/>
    </row>
    <row r="42" spans="1:22" ht="20" customHeight="1">
      <c r="A42" s="106"/>
      <c r="B42" s="517"/>
      <c r="C42" s="517"/>
      <c r="D42" s="517"/>
      <c r="E42" s="225"/>
      <c r="F42" s="110"/>
      <c r="G42" s="110"/>
      <c r="H42" s="106"/>
      <c r="I42" s="108"/>
      <c r="J42" s="517"/>
      <c r="K42" s="517"/>
      <c r="L42" s="517"/>
      <c r="M42" s="110"/>
      <c r="N42" s="110"/>
      <c r="O42" s="110"/>
      <c r="P42" s="106"/>
      <c r="Q42" s="108"/>
      <c r="R42" s="106"/>
      <c r="S42" s="106"/>
      <c r="T42" s="106"/>
      <c r="U42" s="106"/>
      <c r="V42" s="106"/>
    </row>
    <row r="43" spans="1:22" s="243" customFormat="1" ht="27" customHeight="1">
      <c r="A43" s="389"/>
      <c r="B43" s="227" t="str">
        <f>'KPI1'!$B$11</f>
        <v>Objetivos</v>
      </c>
      <c r="C43" s="222" t="s">
        <v>102</v>
      </c>
      <c r="D43" s="222" t="str">
        <f>'KPI1'!$D$12</f>
        <v>Actual</v>
      </c>
      <c r="E43" s="222" t="str">
        <f>'KPI1'!$D$13</f>
        <v>Meta</v>
      </c>
      <c r="F43" s="222" t="str">
        <f>'KPI1'!$D$14</f>
        <v>%</v>
      </c>
      <c r="G43" s="223" t="str">
        <f>Lan!$F$70</f>
        <v>Status</v>
      </c>
      <c r="H43" s="223" t="str">
        <f>Lan!$F$52</f>
        <v>Tendencia</v>
      </c>
      <c r="I43" s="224"/>
      <c r="J43" s="227" t="str">
        <f>'KPI1'!$B$11</f>
        <v>Objetivos</v>
      </c>
      <c r="K43" s="222" t="s">
        <v>102</v>
      </c>
      <c r="L43" s="222" t="str">
        <f>'KPI1'!$D$12</f>
        <v>Actual</v>
      </c>
      <c r="M43" s="222" t="str">
        <f>'KPI1'!$D$13</f>
        <v>Meta</v>
      </c>
      <c r="N43" s="222" t="str">
        <f>'KPI1'!$D$14</f>
        <v>%</v>
      </c>
      <c r="O43" s="223" t="str">
        <f>Lan!$F$70</f>
        <v>Status</v>
      </c>
      <c r="P43" s="223" t="str">
        <f>Lan!$F$52</f>
        <v>Tendencia</v>
      </c>
      <c r="Q43" s="224"/>
      <c r="R43" s="389"/>
      <c r="S43" s="389"/>
      <c r="T43" s="389"/>
      <c r="U43" s="389"/>
      <c r="V43" s="389"/>
    </row>
    <row r="44" spans="1:22" ht="27" customHeight="1">
      <c r="A44" s="106"/>
      <c r="B44" s="228" t="str">
        <f>IF(AuxR!C60="","",AuxR!C60)</f>
        <v>Lanzar una tienda en línea funcional antes de marzo de 2026.</v>
      </c>
      <c r="C44" s="111" t="str">
        <f>IF(B44="","",AuxR!$D60)</f>
        <v>↑</v>
      </c>
      <c r="D44" s="111">
        <f>IF(B44="","",AuxR!$G60)</f>
        <v>10.49</v>
      </c>
      <c r="E44" s="111">
        <f>IF(B44="","",AuxR!$H60)</f>
        <v>10.800000000000002</v>
      </c>
      <c r="F44" s="112">
        <f>IF(B44="","",AuxR!$I60)</f>
        <v>0.9712962962962961</v>
      </c>
      <c r="G44" s="113" t="str">
        <f t="shared" ref="G44:G53" si="4">IF(B44="","","●")</f>
        <v>●</v>
      </c>
      <c r="H44" s="114"/>
      <c r="I44" s="108">
        <f>IF(B44="","",AuxR!$J60)</f>
        <v>1</v>
      </c>
      <c r="J44" s="228" t="str">
        <f>IF(AuxR!C70="","",AuxR!C70)</f>
        <v>Implementar un plan anual de capacitación para todos los colaboradores antes de enero de 2026.</v>
      </c>
      <c r="K44" s="111" t="str">
        <f>IF(J44="","",AuxR!$D70)</f>
        <v>↑</v>
      </c>
      <c r="L44" s="111">
        <f>IF(J44="","",AuxR!$G70)</f>
        <v>1039</v>
      </c>
      <c r="M44" s="111">
        <f>IF(J44="","",AuxR!$H70)</f>
        <v>1080</v>
      </c>
      <c r="N44" s="112">
        <f>IF(J44="","",AuxR!$I70)</f>
        <v>0.96203703703703702</v>
      </c>
      <c r="O44" s="113" t="str">
        <f>IF(J44="","","●")</f>
        <v>●</v>
      </c>
      <c r="P44" s="116"/>
      <c r="Q44" s="108">
        <f>IF(J44="","",AuxR!$J70)</f>
        <v>1</v>
      </c>
      <c r="R44" s="106"/>
      <c r="S44" s="106"/>
      <c r="T44" s="106"/>
      <c r="U44" s="106"/>
      <c r="V44" s="106"/>
    </row>
    <row r="45" spans="1:22" ht="27" customHeight="1">
      <c r="A45" s="106"/>
      <c r="B45" s="228" t="str">
        <f>IF(AuxR!C61="","",AuxR!C61)</f>
        <v>Generar $1,000,000 MXN en ventas digitales acumuladas para diciembre de 2026.</v>
      </c>
      <c r="C45" s="111" t="str">
        <f>IF(B45="","",AuxR!$D61)</f>
        <v>↑</v>
      </c>
      <c r="D45" s="111">
        <f>IF(B45="","",AuxR!$G61)</f>
        <v>0.69</v>
      </c>
      <c r="E45" s="111">
        <f>IF(B45="","",AuxR!$H61)</f>
        <v>0.98</v>
      </c>
      <c r="F45" s="112">
        <f>IF(B45="","",AuxR!$I61)</f>
        <v>0.70408163265306123</v>
      </c>
      <c r="G45" s="113" t="str">
        <f t="shared" si="4"/>
        <v>●</v>
      </c>
      <c r="H45" s="114"/>
      <c r="I45" s="108">
        <f>IF(B45="","",AuxR!$J61)</f>
        <v>0</v>
      </c>
      <c r="J45" s="228" t="str">
        <f>IF(AuxR!C71="","",AuxR!C71)</f>
        <v>Lograr que el 80% del personal operativo participe en al menos una capacitación al año.</v>
      </c>
      <c r="K45" s="111" t="str">
        <f>IF(J45="","",AuxR!$D71)</f>
        <v>↑</v>
      </c>
      <c r="L45" s="111">
        <f>IF(J45="","",AuxR!$G71)</f>
        <v>0.87750000000000006</v>
      </c>
      <c r="M45" s="111">
        <f>IF(J45="","",AuxR!$H71)</f>
        <v>0.90000000000000024</v>
      </c>
      <c r="N45" s="112">
        <f>IF(J45="","",AuxR!$I71)</f>
        <v>0.97499999999999976</v>
      </c>
      <c r="O45" s="113" t="str">
        <f t="shared" ref="O45:O53" si="5">IF(J45="","","●")</f>
        <v>●</v>
      </c>
      <c r="P45" s="116"/>
      <c r="Q45" s="108">
        <f>IF(J45="","",AuxR!$J71)</f>
        <v>1</v>
      </c>
      <c r="R45" s="106"/>
      <c r="S45" s="106"/>
      <c r="T45" s="106"/>
      <c r="U45" s="106"/>
      <c r="V45" s="106"/>
    </row>
    <row r="46" spans="1:22" ht="27" customHeight="1">
      <c r="A46" s="106"/>
      <c r="B46" s="228">
        <f>IF(AuxR!C62="","",AuxR!C62)</f>
        <v>0</v>
      </c>
      <c r="C46" s="111">
        <f>IF(B46="","",AuxR!$D62)</f>
        <v>0</v>
      </c>
      <c r="D46" s="111" t="str">
        <f>IF(B46="","",AuxR!$G62)</f>
        <v/>
      </c>
      <c r="E46" s="111" t="str">
        <f>IF(B46="","",AuxR!$H62)</f>
        <v/>
      </c>
      <c r="F46" s="112" t="str">
        <f>IF(B46="","",AuxR!$I62)</f>
        <v/>
      </c>
      <c r="G46" s="113" t="str">
        <f t="shared" si="4"/>
        <v>●</v>
      </c>
      <c r="H46" s="114"/>
      <c r="I46" s="108">
        <f>IF(B46="","",AuxR!$J62)</f>
        <v>0</v>
      </c>
      <c r="J46" s="228">
        <f>IF(AuxR!C72="","",AuxR!C72)</f>
        <v>0</v>
      </c>
      <c r="K46" s="111">
        <f>IF(J46="","",AuxR!$D72)</f>
        <v>0</v>
      </c>
      <c r="L46" s="111" t="str">
        <f>IF(J46="","",AuxR!$G72)</f>
        <v/>
      </c>
      <c r="M46" s="111" t="str">
        <f>IF(J46="","",AuxR!$H72)</f>
        <v/>
      </c>
      <c r="N46" s="112" t="str">
        <f>IF(J46="","",AuxR!$I72)</f>
        <v/>
      </c>
      <c r="O46" s="113" t="str">
        <f t="shared" si="5"/>
        <v>●</v>
      </c>
      <c r="P46" s="116"/>
      <c r="Q46" s="108">
        <f>IF(J46="","",AuxR!$J72)</f>
        <v>0</v>
      </c>
      <c r="R46" s="106"/>
      <c r="S46" s="106"/>
      <c r="T46" s="106"/>
      <c r="U46" s="106"/>
      <c r="V46" s="106"/>
    </row>
    <row r="47" spans="1:22" ht="27" customHeight="1">
      <c r="A47" s="106"/>
      <c r="B47" s="228" t="str">
        <f>IF(AuxR!C63="","",AuxR!C63)</f>
        <v/>
      </c>
      <c r="C47" s="111" t="str">
        <f>IF(B47="","",AuxR!$D63)</f>
        <v/>
      </c>
      <c r="D47" s="111" t="str">
        <f>IF(B47="","",AuxR!$G63)</f>
        <v/>
      </c>
      <c r="E47" s="111" t="str">
        <f>IF(B47="","",AuxR!$H63)</f>
        <v/>
      </c>
      <c r="F47" s="112" t="str">
        <f>IF(B47="","",AuxR!$I63)</f>
        <v/>
      </c>
      <c r="G47" s="113" t="str">
        <f t="shared" si="4"/>
        <v/>
      </c>
      <c r="H47" s="114"/>
      <c r="I47" s="108" t="str">
        <f>IF(B47="","",AuxR!$J63)</f>
        <v/>
      </c>
      <c r="J47" s="228" t="str">
        <f>IF(AuxR!C73="","",AuxR!C73)</f>
        <v/>
      </c>
      <c r="K47" s="111" t="str">
        <f>IF(J47="","",AuxR!$D73)</f>
        <v/>
      </c>
      <c r="L47" s="111" t="str">
        <f>IF(J47="","",AuxR!$G73)</f>
        <v/>
      </c>
      <c r="M47" s="111" t="str">
        <f>IF(J47="","",AuxR!$H73)</f>
        <v/>
      </c>
      <c r="N47" s="112" t="str">
        <f>IF(J47="","",AuxR!$I73)</f>
        <v/>
      </c>
      <c r="O47" s="113" t="str">
        <f t="shared" si="5"/>
        <v/>
      </c>
      <c r="P47" s="116"/>
      <c r="Q47" s="108" t="str">
        <f>IF(J47="","",AuxR!$J73)</f>
        <v/>
      </c>
      <c r="R47" s="106"/>
      <c r="S47" s="106"/>
      <c r="T47" s="106"/>
      <c r="U47" s="106"/>
      <c r="V47" s="106"/>
    </row>
    <row r="48" spans="1:22" ht="27" customHeight="1">
      <c r="A48" s="106"/>
      <c r="B48" s="228" t="str">
        <f>IF(AuxR!C64="","",AuxR!C64)</f>
        <v/>
      </c>
      <c r="C48" s="111" t="str">
        <f>IF(B48="","",AuxR!$D64)</f>
        <v/>
      </c>
      <c r="D48" s="111" t="str">
        <f>IF(B48="","",AuxR!$G64)</f>
        <v/>
      </c>
      <c r="E48" s="111" t="str">
        <f>IF(B48="","",AuxR!$H64)</f>
        <v/>
      </c>
      <c r="F48" s="112" t="str">
        <f>IF(B48="","",AuxR!$I64)</f>
        <v/>
      </c>
      <c r="G48" s="113" t="str">
        <f t="shared" si="4"/>
        <v/>
      </c>
      <c r="H48" s="114"/>
      <c r="I48" s="108" t="str">
        <f>IF(B48="","",AuxR!$J64)</f>
        <v/>
      </c>
      <c r="J48" s="228" t="str">
        <f>IF(AuxR!C74="","",AuxR!C74)</f>
        <v/>
      </c>
      <c r="K48" s="111" t="str">
        <f>IF(J48="","",AuxR!$D74)</f>
        <v/>
      </c>
      <c r="L48" s="111" t="str">
        <f>IF(J48="","",AuxR!$G74)</f>
        <v/>
      </c>
      <c r="M48" s="111" t="str">
        <f>IF(J48="","",AuxR!$H74)</f>
        <v/>
      </c>
      <c r="N48" s="112" t="str">
        <f>IF(J48="","",AuxR!$I74)</f>
        <v/>
      </c>
      <c r="O48" s="113" t="str">
        <f t="shared" si="5"/>
        <v/>
      </c>
      <c r="P48" s="116"/>
      <c r="Q48" s="108" t="str">
        <f>IF(J48="","",AuxR!$J74)</f>
        <v/>
      </c>
      <c r="R48" s="106"/>
      <c r="S48" s="106"/>
      <c r="T48" s="106"/>
      <c r="U48" s="106"/>
      <c r="V48" s="106"/>
    </row>
    <row r="49" spans="1:22" ht="27" customHeight="1">
      <c r="A49" s="106"/>
      <c r="B49" s="228" t="str">
        <f>IF(AuxR!C65="","",AuxR!C65)</f>
        <v/>
      </c>
      <c r="C49" s="111" t="str">
        <f>IF(B49="","",AuxR!$D65)</f>
        <v/>
      </c>
      <c r="D49" s="111" t="str">
        <f>IF(B49="","",AuxR!$G65)</f>
        <v/>
      </c>
      <c r="E49" s="111" t="str">
        <f>IF(B49="","",AuxR!$H65)</f>
        <v/>
      </c>
      <c r="F49" s="112" t="str">
        <f>IF(B49="","",AuxR!$I65)</f>
        <v/>
      </c>
      <c r="G49" s="113" t="str">
        <f t="shared" si="4"/>
        <v/>
      </c>
      <c r="H49" s="114"/>
      <c r="I49" s="108" t="str">
        <f>IF(B49="","",AuxR!$J65)</f>
        <v/>
      </c>
      <c r="J49" s="228" t="str">
        <f>IF(AuxR!C75="","",AuxR!C75)</f>
        <v/>
      </c>
      <c r="K49" s="111" t="str">
        <f>IF(J49="","",AuxR!$D75)</f>
        <v/>
      </c>
      <c r="L49" s="111" t="str">
        <f>IF(J49="","",AuxR!$G75)</f>
        <v/>
      </c>
      <c r="M49" s="111" t="str">
        <f>IF(J49="","",AuxR!$H75)</f>
        <v/>
      </c>
      <c r="N49" s="112" t="str">
        <f>IF(J49="","",AuxR!$I75)</f>
        <v/>
      </c>
      <c r="O49" s="113" t="str">
        <f t="shared" si="5"/>
        <v/>
      </c>
      <c r="P49" s="116"/>
      <c r="Q49" s="108" t="str">
        <f>IF(J49="","",AuxR!$J75)</f>
        <v/>
      </c>
      <c r="R49" s="106"/>
      <c r="S49" s="106"/>
      <c r="T49" s="106"/>
      <c r="U49" s="106"/>
      <c r="V49" s="106"/>
    </row>
    <row r="50" spans="1:22" ht="27" customHeight="1">
      <c r="A50" s="106"/>
      <c r="B50" s="228" t="str">
        <f>IF(AuxR!C66="","",AuxR!C66)</f>
        <v/>
      </c>
      <c r="C50" s="111" t="str">
        <f>IF(B50="","",AuxR!$D66)</f>
        <v/>
      </c>
      <c r="D50" s="111" t="str">
        <f>IF(B50="","",AuxR!$G66)</f>
        <v/>
      </c>
      <c r="E50" s="111" t="str">
        <f>IF(B50="","",AuxR!$H66)</f>
        <v/>
      </c>
      <c r="F50" s="112" t="str">
        <f>IF(B50="","",AuxR!$I66)</f>
        <v/>
      </c>
      <c r="G50" s="113" t="str">
        <f t="shared" si="4"/>
        <v/>
      </c>
      <c r="H50" s="114"/>
      <c r="I50" s="108" t="str">
        <f>IF(B50="","",AuxR!$J66)</f>
        <v/>
      </c>
      <c r="J50" s="228" t="str">
        <f>IF(AuxR!C76="","",AuxR!C76)</f>
        <v/>
      </c>
      <c r="K50" s="111" t="str">
        <f>IF(J50="","",AuxR!$D76)</f>
        <v/>
      </c>
      <c r="L50" s="111" t="str">
        <f>IF(J50="","",AuxR!$G76)</f>
        <v/>
      </c>
      <c r="M50" s="111" t="str">
        <f>IF(J50="","",AuxR!$H76)</f>
        <v/>
      </c>
      <c r="N50" s="112" t="str">
        <f>IF(J50="","",AuxR!$I76)</f>
        <v/>
      </c>
      <c r="O50" s="113" t="str">
        <f t="shared" si="5"/>
        <v/>
      </c>
      <c r="P50" s="116"/>
      <c r="Q50" s="108" t="str">
        <f>IF(J50="","",AuxR!$J76)</f>
        <v/>
      </c>
      <c r="R50" s="106"/>
      <c r="S50" s="106"/>
      <c r="T50" s="106"/>
      <c r="U50" s="106"/>
      <c r="V50" s="106"/>
    </row>
    <row r="51" spans="1:22" ht="27" customHeight="1">
      <c r="A51" s="106"/>
      <c r="B51" s="228" t="str">
        <f>IF(AuxR!C67="","",AuxR!C67)</f>
        <v/>
      </c>
      <c r="C51" s="111" t="str">
        <f>IF(B51="","",AuxR!$D67)</f>
        <v/>
      </c>
      <c r="D51" s="111" t="str">
        <f>IF(B51="","",AuxR!$G67)</f>
        <v/>
      </c>
      <c r="E51" s="111" t="str">
        <f>IF(B51="","",AuxR!$H67)</f>
        <v/>
      </c>
      <c r="F51" s="112" t="str">
        <f>IF(B51="","",AuxR!$I67)</f>
        <v/>
      </c>
      <c r="G51" s="113" t="str">
        <f t="shared" si="4"/>
        <v/>
      </c>
      <c r="H51" s="114"/>
      <c r="I51" s="108" t="str">
        <f>IF(B51="","",AuxR!$J67)</f>
        <v/>
      </c>
      <c r="J51" s="228" t="str">
        <f>IF(AuxR!C77="","",AuxR!C77)</f>
        <v/>
      </c>
      <c r="K51" s="111" t="str">
        <f>IF(J51="","",AuxR!$D77)</f>
        <v/>
      </c>
      <c r="L51" s="111" t="str">
        <f>IF(J51="","",AuxR!$G77)</f>
        <v/>
      </c>
      <c r="M51" s="111" t="str">
        <f>IF(J51="","",AuxR!$H77)</f>
        <v/>
      </c>
      <c r="N51" s="112" t="str">
        <f>IF(J51="","",AuxR!$I77)</f>
        <v/>
      </c>
      <c r="O51" s="113" t="str">
        <f t="shared" si="5"/>
        <v/>
      </c>
      <c r="P51" s="116"/>
      <c r="Q51" s="108" t="str">
        <f>IF(J51="","",AuxR!$J77)</f>
        <v/>
      </c>
      <c r="R51" s="106"/>
      <c r="S51" s="106"/>
      <c r="T51" s="106"/>
      <c r="U51" s="106"/>
      <c r="V51" s="106"/>
    </row>
    <row r="52" spans="1:22" ht="27" customHeight="1">
      <c r="A52" s="106"/>
      <c r="B52" s="228" t="str">
        <f>IF(AuxR!C68="","",AuxR!C68)</f>
        <v/>
      </c>
      <c r="C52" s="111" t="str">
        <f>IF(B52="","",AuxR!$D68)</f>
        <v/>
      </c>
      <c r="D52" s="111" t="str">
        <f>IF(B52="","",AuxR!$G68)</f>
        <v/>
      </c>
      <c r="E52" s="111" t="str">
        <f>IF(B52="","",AuxR!$H68)</f>
        <v/>
      </c>
      <c r="F52" s="112" t="str">
        <f>IF(B52="","",AuxR!$I68)</f>
        <v/>
      </c>
      <c r="G52" s="113" t="str">
        <f t="shared" si="4"/>
        <v/>
      </c>
      <c r="H52" s="114"/>
      <c r="I52" s="108" t="str">
        <f>IF(B52="","",AuxR!$J68)</f>
        <v/>
      </c>
      <c r="J52" s="228" t="str">
        <f>IF(AuxR!C78="","",AuxR!C78)</f>
        <v/>
      </c>
      <c r="K52" s="111" t="str">
        <f>IF(J52="","",AuxR!$D78)</f>
        <v/>
      </c>
      <c r="L52" s="111" t="str">
        <f>IF(J52="","",AuxR!$G78)</f>
        <v/>
      </c>
      <c r="M52" s="111" t="str">
        <f>IF(J52="","",AuxR!$H78)</f>
        <v/>
      </c>
      <c r="N52" s="112" t="str">
        <f>IF(J52="","",AuxR!$I78)</f>
        <v/>
      </c>
      <c r="O52" s="113" t="str">
        <f t="shared" si="5"/>
        <v/>
      </c>
      <c r="P52" s="116"/>
      <c r="Q52" s="108" t="str">
        <f>IF(J52="","",AuxR!$J78)</f>
        <v/>
      </c>
      <c r="R52" s="106"/>
      <c r="S52" s="106"/>
      <c r="T52" s="106"/>
      <c r="U52" s="106"/>
      <c r="V52" s="106"/>
    </row>
    <row r="53" spans="1:22" ht="27" customHeight="1">
      <c r="A53" s="106"/>
      <c r="B53" s="228" t="str">
        <f>IF(AuxR!C69="","",AuxR!C69)</f>
        <v/>
      </c>
      <c r="C53" s="111" t="str">
        <f>IF(B53="","",AuxR!$D69)</f>
        <v/>
      </c>
      <c r="D53" s="111" t="str">
        <f>IF(B53="","",AuxR!$G69)</f>
        <v/>
      </c>
      <c r="E53" s="111" t="str">
        <f>IF(B53="","",AuxR!$H69)</f>
        <v/>
      </c>
      <c r="F53" s="112" t="str">
        <f>IF(B53="","",AuxR!$I69)</f>
        <v/>
      </c>
      <c r="G53" s="113" t="str">
        <f t="shared" si="4"/>
        <v/>
      </c>
      <c r="H53" s="114"/>
      <c r="I53" s="108" t="str">
        <f>IF(B53="","",AuxR!$J69)</f>
        <v/>
      </c>
      <c r="J53" s="228" t="str">
        <f>IF(AuxR!C79="","",AuxR!C79)</f>
        <v/>
      </c>
      <c r="K53" s="111" t="str">
        <f>IF(J53="","",AuxR!$D79)</f>
        <v/>
      </c>
      <c r="L53" s="111" t="str">
        <f>IF(J53="","",AuxR!$G79)</f>
        <v/>
      </c>
      <c r="M53" s="111" t="str">
        <f>IF(J53="","",AuxR!$H79)</f>
        <v/>
      </c>
      <c r="N53" s="112" t="str">
        <f>IF(J53="","",AuxR!$I79)</f>
        <v/>
      </c>
      <c r="O53" s="113" t="str">
        <f t="shared" si="5"/>
        <v/>
      </c>
      <c r="P53" s="116"/>
      <c r="Q53" s="108" t="str">
        <f>IF(J53="","",AuxR!$J79)</f>
        <v/>
      </c>
      <c r="R53" s="106"/>
      <c r="S53" s="106"/>
      <c r="T53" s="106"/>
      <c r="U53" s="106"/>
      <c r="V53" s="106"/>
    </row>
    <row r="54" spans="1:22" ht="20" customHeight="1">
      <c r="A54" s="104"/>
      <c r="B54" s="226"/>
      <c r="C54" s="104"/>
      <c r="D54" s="104"/>
      <c r="E54" s="104"/>
      <c r="F54" s="104"/>
      <c r="G54" s="104"/>
      <c r="H54" s="104"/>
      <c r="I54" s="108"/>
      <c r="J54" s="226"/>
      <c r="K54" s="104"/>
      <c r="L54" s="104"/>
      <c r="M54" s="104"/>
      <c r="N54" s="104"/>
      <c r="O54" s="104"/>
      <c r="P54" s="104"/>
      <c r="Q54" s="108"/>
      <c r="R54" s="106"/>
      <c r="S54" s="106"/>
      <c r="T54" s="106"/>
      <c r="U54" s="106"/>
      <c r="V54" s="106"/>
    </row>
    <row r="55" spans="1:22" ht="20" customHeight="1">
      <c r="A55" s="104"/>
      <c r="B55" s="226"/>
      <c r="C55" s="104"/>
      <c r="D55" s="104"/>
      <c r="E55" s="104"/>
      <c r="F55" s="104"/>
      <c r="G55" s="104"/>
      <c r="H55" s="104"/>
      <c r="I55" s="108"/>
      <c r="J55" s="226"/>
      <c r="K55" s="104"/>
      <c r="L55" s="104"/>
      <c r="M55" s="104"/>
      <c r="N55" s="104"/>
      <c r="O55" s="104"/>
      <c r="P55" s="104"/>
      <c r="Q55" s="108"/>
      <c r="R55" s="106"/>
      <c r="S55" s="106"/>
      <c r="T55" s="106"/>
      <c r="U55" s="106"/>
      <c r="V55" s="106"/>
    </row>
    <row r="56" spans="1:22" ht="20" customHeight="1">
      <c r="A56" s="104"/>
      <c r="B56" s="226"/>
      <c r="C56" s="104"/>
      <c r="D56" s="104"/>
      <c r="E56" s="104"/>
      <c r="F56" s="104"/>
      <c r="G56" s="104"/>
      <c r="H56" s="104"/>
      <c r="I56" s="108"/>
      <c r="J56" s="226"/>
      <c r="K56" s="104"/>
      <c r="L56" s="104"/>
      <c r="M56" s="104"/>
      <c r="N56" s="104"/>
      <c r="O56" s="104"/>
      <c r="P56" s="104"/>
      <c r="Q56" s="108"/>
      <c r="R56" s="106"/>
      <c r="S56" s="106"/>
      <c r="T56" s="106"/>
      <c r="U56" s="106"/>
      <c r="V56" s="106"/>
    </row>
    <row r="57" spans="1:22" ht="20" customHeight="1">
      <c r="A57" s="104"/>
      <c r="B57" s="226"/>
      <c r="C57" s="104"/>
      <c r="D57" s="104"/>
      <c r="E57" s="104"/>
      <c r="F57" s="104"/>
      <c r="G57" s="104"/>
      <c r="H57" s="104"/>
      <c r="I57" s="108"/>
      <c r="J57" s="226"/>
      <c r="K57" s="104"/>
      <c r="L57" s="104"/>
      <c r="M57" s="104"/>
      <c r="N57" s="104"/>
      <c r="O57" s="104"/>
      <c r="P57" s="104"/>
      <c r="Q57" s="108"/>
      <c r="R57" s="106"/>
      <c r="S57" s="106"/>
      <c r="T57" s="106"/>
      <c r="U57" s="106"/>
      <c r="V57" s="106"/>
    </row>
    <row r="58" spans="1:22" ht="20" customHeight="1">
      <c r="A58" s="104"/>
      <c r="B58" s="226"/>
      <c r="C58" s="104"/>
      <c r="D58" s="104"/>
      <c r="E58" s="104"/>
      <c r="F58" s="104"/>
      <c r="G58" s="104"/>
      <c r="H58" s="104"/>
      <c r="I58" s="108"/>
      <c r="J58" s="226"/>
      <c r="K58" s="104"/>
      <c r="L58" s="104"/>
      <c r="M58" s="104"/>
      <c r="N58" s="104"/>
      <c r="O58" s="104"/>
      <c r="P58" s="104"/>
      <c r="Q58" s="108"/>
      <c r="R58" s="106"/>
      <c r="S58" s="106"/>
      <c r="T58" s="106"/>
      <c r="U58" s="106"/>
      <c r="V58" s="106"/>
    </row>
    <row r="59" spans="1:22" ht="20" customHeight="1">
      <c r="A59" s="104"/>
      <c r="B59" s="226"/>
      <c r="C59" s="104"/>
      <c r="D59" s="104"/>
      <c r="E59" s="104"/>
      <c r="F59" s="104"/>
      <c r="G59" s="104"/>
      <c r="H59" s="104"/>
      <c r="I59" s="108"/>
      <c r="J59" s="226"/>
      <c r="K59" s="104"/>
      <c r="L59" s="104"/>
      <c r="M59" s="104"/>
      <c r="N59" s="104"/>
      <c r="O59" s="104"/>
      <c r="P59" s="104"/>
      <c r="Q59" s="108"/>
      <c r="R59" s="106"/>
      <c r="S59" s="106"/>
      <c r="T59" s="106"/>
      <c r="U59" s="106"/>
      <c r="V59" s="106"/>
    </row>
    <row r="60" spans="1:22" ht="20" customHeight="1">
      <c r="A60" s="104"/>
      <c r="B60" s="226"/>
      <c r="C60" s="104"/>
      <c r="D60" s="104"/>
      <c r="E60" s="104"/>
      <c r="F60" s="104"/>
      <c r="G60" s="104"/>
      <c r="H60" s="104"/>
      <c r="I60" s="108"/>
      <c r="J60" s="226"/>
      <c r="K60" s="104"/>
      <c r="L60" s="104"/>
      <c r="M60" s="104"/>
      <c r="N60" s="104"/>
      <c r="O60" s="104"/>
      <c r="P60" s="104"/>
      <c r="Q60" s="108"/>
      <c r="R60" s="106"/>
      <c r="S60" s="106"/>
      <c r="T60" s="106"/>
      <c r="U60" s="106"/>
      <c r="V60" s="106"/>
    </row>
    <row r="61" spans="1:22" ht="20" customHeight="1">
      <c r="A61" s="104"/>
      <c r="B61" s="226"/>
      <c r="C61" s="104"/>
      <c r="D61" s="104"/>
      <c r="E61" s="104"/>
      <c r="F61" s="104"/>
      <c r="G61" s="104"/>
      <c r="H61" s="104"/>
      <c r="I61" s="108"/>
      <c r="J61" s="226"/>
      <c r="K61" s="104"/>
      <c r="L61" s="104"/>
      <c r="M61" s="104"/>
      <c r="N61" s="104"/>
      <c r="O61" s="104"/>
      <c r="P61" s="104"/>
      <c r="Q61" s="108"/>
      <c r="R61" s="106"/>
      <c r="S61" s="106"/>
      <c r="T61" s="106"/>
      <c r="U61" s="106"/>
      <c r="V61" s="106"/>
    </row>
    <row r="62" spans="1:22" ht="20" customHeight="1">
      <c r="A62" s="104"/>
      <c r="B62" s="226"/>
      <c r="C62" s="104"/>
      <c r="D62" s="104"/>
      <c r="E62" s="104"/>
      <c r="F62" s="104"/>
      <c r="G62" s="104"/>
      <c r="H62" s="104"/>
      <c r="I62" s="108"/>
      <c r="J62" s="226"/>
      <c r="K62" s="104"/>
      <c r="L62" s="104"/>
      <c r="M62" s="104"/>
      <c r="N62" s="104"/>
      <c r="O62" s="104"/>
      <c r="P62" s="104"/>
      <c r="Q62" s="108"/>
      <c r="R62" s="106"/>
      <c r="S62" s="106"/>
      <c r="T62" s="106"/>
      <c r="U62" s="106"/>
      <c r="V62" s="106"/>
    </row>
    <row r="63" spans="1:22" ht="20" customHeight="1">
      <c r="A63" s="104"/>
      <c r="B63" s="226"/>
      <c r="C63" s="104"/>
      <c r="D63" s="104"/>
      <c r="E63" s="104"/>
      <c r="F63" s="104"/>
      <c r="G63" s="104"/>
      <c r="H63" s="104"/>
      <c r="I63" s="108"/>
      <c r="J63" s="226"/>
      <c r="K63" s="104"/>
      <c r="L63" s="104"/>
      <c r="M63" s="104"/>
      <c r="N63" s="104"/>
      <c r="O63" s="104"/>
      <c r="P63" s="104"/>
      <c r="Q63" s="108"/>
      <c r="R63" s="106"/>
      <c r="S63" s="106"/>
      <c r="T63" s="106"/>
      <c r="U63" s="106"/>
      <c r="V63" s="106"/>
    </row>
    <row r="64" spans="1:22" ht="20" customHeight="1">
      <c r="A64" s="104"/>
      <c r="B64" s="226"/>
      <c r="C64" s="104"/>
      <c r="D64" s="104"/>
      <c r="E64" s="104"/>
      <c r="F64" s="104"/>
      <c r="G64" s="104"/>
      <c r="H64" s="104"/>
      <c r="I64" s="108"/>
      <c r="J64" s="226"/>
      <c r="K64" s="104"/>
      <c r="L64" s="104"/>
      <c r="M64" s="104"/>
      <c r="N64" s="104"/>
      <c r="O64" s="104"/>
      <c r="P64" s="104"/>
      <c r="Q64" s="108"/>
      <c r="R64" s="106"/>
      <c r="S64" s="106"/>
      <c r="T64" s="106"/>
      <c r="U64" s="106"/>
      <c r="V64" s="106"/>
    </row>
    <row r="65" spans="1:22" ht="20" customHeight="1">
      <c r="A65" s="104"/>
      <c r="B65" s="226"/>
      <c r="C65" s="104"/>
      <c r="D65" s="104"/>
      <c r="E65" s="104"/>
      <c r="F65" s="104"/>
      <c r="G65" s="104"/>
      <c r="H65" s="104"/>
      <c r="I65" s="108"/>
      <c r="J65" s="226"/>
      <c r="K65" s="104"/>
      <c r="L65" s="104"/>
      <c r="M65" s="104"/>
      <c r="N65" s="104"/>
      <c r="O65" s="104"/>
      <c r="P65" s="104"/>
      <c r="Q65" s="108"/>
      <c r="R65" s="106"/>
      <c r="S65" s="106"/>
      <c r="T65" s="106"/>
      <c r="U65" s="106"/>
      <c r="V65" s="106"/>
    </row>
    <row r="66" spans="1:22" ht="20" customHeight="1">
      <c r="A66" s="104"/>
      <c r="B66" s="226"/>
      <c r="C66" s="104"/>
      <c r="D66" s="104"/>
      <c r="E66" s="104"/>
      <c r="F66" s="104"/>
      <c r="G66" s="104"/>
      <c r="H66" s="104"/>
      <c r="I66" s="108"/>
      <c r="J66" s="226"/>
      <c r="K66" s="104"/>
      <c r="L66" s="104"/>
      <c r="M66" s="104"/>
      <c r="N66" s="104"/>
      <c r="O66" s="104"/>
      <c r="P66" s="104"/>
      <c r="Q66" s="108"/>
      <c r="R66" s="106"/>
      <c r="S66" s="106"/>
      <c r="T66" s="106"/>
      <c r="U66" s="106"/>
      <c r="V66" s="106"/>
    </row>
    <row r="67" spans="1:22" ht="20" customHeight="1">
      <c r="A67" s="104"/>
      <c r="B67" s="226"/>
      <c r="C67" s="104"/>
      <c r="D67" s="104"/>
      <c r="E67" s="104"/>
      <c r="F67" s="104"/>
      <c r="G67" s="104"/>
      <c r="H67" s="104"/>
      <c r="I67" s="108"/>
      <c r="J67" s="226"/>
      <c r="K67" s="104"/>
      <c r="L67" s="104"/>
      <c r="M67" s="104"/>
      <c r="N67" s="104"/>
      <c r="O67" s="104"/>
      <c r="P67" s="104"/>
      <c r="Q67" s="108"/>
      <c r="R67" s="106"/>
      <c r="S67" s="106"/>
      <c r="T67" s="106"/>
      <c r="U67" s="106"/>
      <c r="V67" s="106"/>
    </row>
    <row r="68" spans="1:22" ht="20" customHeight="1">
      <c r="A68" s="104"/>
      <c r="B68" s="226"/>
      <c r="C68" s="104"/>
      <c r="D68" s="104"/>
      <c r="E68" s="104"/>
      <c r="F68" s="104"/>
      <c r="G68" s="104"/>
      <c r="H68" s="104"/>
      <c r="I68" s="108"/>
      <c r="J68" s="226"/>
      <c r="K68" s="104"/>
      <c r="L68" s="104"/>
      <c r="M68" s="104"/>
      <c r="N68" s="104"/>
      <c r="O68" s="104"/>
      <c r="P68" s="104"/>
      <c r="Q68" s="108"/>
      <c r="R68" s="106"/>
      <c r="S68" s="106"/>
      <c r="T68" s="106"/>
      <c r="U68" s="106"/>
      <c r="V68" s="106"/>
    </row>
    <row r="69" spans="1:22" ht="20" customHeight="1">
      <c r="A69" s="104"/>
      <c r="B69" s="226"/>
      <c r="C69" s="104"/>
      <c r="D69" s="104"/>
      <c r="E69" s="104"/>
      <c r="F69" s="104"/>
      <c r="G69" s="104"/>
      <c r="H69" s="104"/>
      <c r="I69" s="108"/>
      <c r="J69" s="226"/>
      <c r="K69" s="104"/>
      <c r="L69" s="104"/>
      <c r="M69" s="104"/>
      <c r="N69" s="104"/>
      <c r="O69" s="104"/>
      <c r="P69" s="104"/>
      <c r="Q69" s="108"/>
      <c r="R69" s="106"/>
      <c r="S69" s="106"/>
      <c r="T69" s="106"/>
      <c r="U69" s="106"/>
      <c r="V69" s="106"/>
    </row>
    <row r="70" spans="1:22" ht="20" customHeight="1">
      <c r="A70" s="104"/>
      <c r="B70" s="226"/>
      <c r="C70" s="104"/>
      <c r="D70" s="104"/>
      <c r="E70" s="104"/>
      <c r="F70" s="104"/>
      <c r="G70" s="104"/>
      <c r="H70" s="104"/>
      <c r="I70" s="108"/>
      <c r="J70" s="226"/>
      <c r="K70" s="104"/>
      <c r="L70" s="104"/>
      <c r="M70" s="104"/>
      <c r="N70" s="104"/>
      <c r="O70" s="104"/>
      <c r="P70" s="104"/>
      <c r="Q70" s="108"/>
      <c r="R70" s="106"/>
      <c r="S70" s="106"/>
      <c r="T70" s="106"/>
      <c r="U70" s="106"/>
      <c r="V70" s="106"/>
    </row>
    <row r="71" spans="1:22" ht="20" customHeight="1">
      <c r="A71" s="104"/>
      <c r="B71" s="226"/>
      <c r="C71" s="104"/>
      <c r="D71" s="104"/>
      <c r="E71" s="104"/>
      <c r="F71" s="104"/>
      <c r="G71" s="104"/>
      <c r="H71" s="104"/>
      <c r="I71" s="108"/>
      <c r="J71" s="226"/>
      <c r="K71" s="104"/>
      <c r="L71" s="104"/>
      <c r="M71" s="104"/>
      <c r="N71" s="104"/>
      <c r="O71" s="104"/>
      <c r="P71" s="104"/>
      <c r="Q71" s="108"/>
      <c r="R71" s="106"/>
      <c r="S71" s="106"/>
      <c r="T71" s="106"/>
      <c r="U71" s="106"/>
      <c r="V71" s="106"/>
    </row>
    <row r="72" spans="1:22" ht="20" customHeight="1">
      <c r="A72" s="104"/>
      <c r="B72" s="226"/>
      <c r="C72" s="104"/>
      <c r="D72" s="104"/>
      <c r="E72" s="104"/>
      <c r="F72" s="104"/>
      <c r="G72" s="104"/>
      <c r="H72" s="104"/>
      <c r="I72" s="108"/>
      <c r="J72" s="226"/>
      <c r="K72" s="104"/>
      <c r="L72" s="104"/>
      <c r="M72" s="104"/>
      <c r="N72" s="104"/>
      <c r="O72" s="104"/>
      <c r="P72" s="104"/>
      <c r="Q72" s="108"/>
      <c r="R72" s="106"/>
      <c r="S72" s="106"/>
      <c r="T72" s="106"/>
      <c r="U72" s="106"/>
      <c r="V72" s="106"/>
    </row>
    <row r="73" spans="1:22" ht="20" customHeight="1">
      <c r="A73" s="104"/>
      <c r="B73" s="226"/>
      <c r="C73" s="104"/>
      <c r="D73" s="104"/>
      <c r="E73" s="104"/>
      <c r="F73" s="104"/>
      <c r="G73" s="104"/>
      <c r="H73" s="104"/>
      <c r="I73" s="108"/>
      <c r="J73" s="226"/>
      <c r="K73" s="104"/>
      <c r="L73" s="104"/>
      <c r="M73" s="104"/>
      <c r="N73" s="104"/>
      <c r="O73" s="104"/>
      <c r="P73" s="104"/>
      <c r="Q73" s="108"/>
      <c r="R73" s="106"/>
      <c r="S73" s="106"/>
      <c r="T73" s="106"/>
      <c r="U73" s="106"/>
      <c r="V73" s="106"/>
    </row>
    <row r="74" spans="1:22" ht="20" customHeight="1">
      <c r="A74" s="104"/>
      <c r="B74" s="226"/>
      <c r="C74" s="104"/>
      <c r="D74" s="104"/>
      <c r="E74" s="104"/>
      <c r="F74" s="104"/>
      <c r="G74" s="104"/>
      <c r="H74" s="104"/>
      <c r="I74" s="108"/>
      <c r="J74" s="226"/>
      <c r="K74" s="104"/>
      <c r="L74" s="104"/>
      <c r="M74" s="104"/>
      <c r="N74" s="104"/>
      <c r="O74" s="104"/>
      <c r="P74" s="104"/>
      <c r="Q74" s="108"/>
      <c r="R74" s="106"/>
      <c r="S74" s="106"/>
      <c r="T74" s="106"/>
      <c r="U74" s="106"/>
      <c r="V74" s="106"/>
    </row>
    <row r="75" spans="1:22" ht="20" customHeight="1">
      <c r="A75" s="104"/>
      <c r="B75" s="226"/>
      <c r="C75" s="104"/>
      <c r="D75" s="104"/>
      <c r="E75" s="104"/>
      <c r="F75" s="104"/>
      <c r="G75" s="104"/>
      <c r="H75" s="104"/>
      <c r="I75" s="108"/>
      <c r="J75" s="226"/>
      <c r="K75" s="104"/>
      <c r="L75" s="104"/>
      <c r="M75" s="104"/>
      <c r="N75" s="104"/>
      <c r="O75" s="104"/>
      <c r="P75" s="104"/>
      <c r="Q75" s="108"/>
      <c r="R75" s="106"/>
      <c r="S75" s="106"/>
      <c r="T75" s="106"/>
      <c r="U75" s="106"/>
      <c r="V75" s="106"/>
    </row>
    <row r="76" spans="1:22" ht="20" customHeight="1">
      <c r="A76" s="104"/>
      <c r="B76" s="226"/>
      <c r="C76" s="104"/>
      <c r="D76" s="104"/>
      <c r="E76" s="104"/>
      <c r="F76" s="104"/>
      <c r="G76" s="104"/>
      <c r="H76" s="104"/>
      <c r="I76" s="108"/>
      <c r="J76" s="226"/>
      <c r="K76" s="104"/>
      <c r="L76" s="104"/>
      <c r="M76" s="104"/>
      <c r="N76" s="104"/>
      <c r="O76" s="104"/>
      <c r="P76" s="104"/>
      <c r="Q76" s="108"/>
      <c r="R76" s="106"/>
      <c r="S76" s="106"/>
      <c r="T76" s="106"/>
      <c r="U76" s="106"/>
      <c r="V76" s="106"/>
    </row>
    <row r="77" spans="1:22" ht="20" customHeight="1">
      <c r="A77" s="104"/>
      <c r="B77" s="226"/>
      <c r="C77" s="104"/>
      <c r="D77" s="104"/>
      <c r="E77" s="104"/>
      <c r="F77" s="104"/>
      <c r="G77" s="104"/>
      <c r="H77" s="104"/>
      <c r="I77" s="108"/>
      <c r="J77" s="226"/>
      <c r="K77" s="104"/>
      <c r="L77" s="104"/>
      <c r="M77" s="104"/>
      <c r="N77" s="104"/>
      <c r="O77" s="104"/>
      <c r="P77" s="104"/>
      <c r="Q77" s="108"/>
      <c r="R77" s="106"/>
      <c r="S77" s="106"/>
      <c r="T77" s="106"/>
      <c r="U77" s="106"/>
      <c r="V77" s="106"/>
    </row>
    <row r="78" spans="1:22" ht="20" customHeight="1">
      <c r="A78" s="104"/>
      <c r="B78" s="226"/>
      <c r="C78" s="104"/>
      <c r="D78" s="104"/>
      <c r="E78" s="104"/>
      <c r="F78" s="104"/>
      <c r="G78" s="104"/>
      <c r="H78" s="104"/>
      <c r="I78" s="108"/>
      <c r="J78" s="226"/>
      <c r="K78" s="104"/>
      <c r="L78" s="104"/>
      <c r="M78" s="104"/>
      <c r="N78" s="104"/>
      <c r="O78" s="104"/>
      <c r="P78" s="104"/>
      <c r="Q78" s="108"/>
      <c r="R78" s="106"/>
      <c r="S78" s="106"/>
      <c r="T78" s="106"/>
      <c r="U78" s="106"/>
      <c r="V78" s="106"/>
    </row>
    <row r="79" spans="1:22" ht="20" customHeight="1">
      <c r="A79" s="104"/>
      <c r="B79" s="226"/>
      <c r="C79" s="104"/>
      <c r="D79" s="104"/>
      <c r="E79" s="104"/>
      <c r="F79" s="104"/>
      <c r="G79" s="104"/>
      <c r="H79" s="104"/>
      <c r="I79" s="108"/>
      <c r="J79" s="226"/>
      <c r="K79" s="104"/>
      <c r="L79" s="104"/>
      <c r="M79" s="104"/>
      <c r="N79" s="104"/>
      <c r="O79" s="104"/>
      <c r="P79" s="104"/>
      <c r="Q79" s="108"/>
      <c r="R79" s="106"/>
      <c r="S79" s="106"/>
      <c r="T79" s="106"/>
      <c r="U79" s="106"/>
      <c r="V79" s="106"/>
    </row>
    <row r="80" spans="1:22" ht="20" customHeight="1">
      <c r="A80" s="104"/>
      <c r="B80" s="226"/>
      <c r="C80" s="104"/>
      <c r="D80" s="104"/>
      <c r="E80" s="104"/>
      <c r="F80" s="104"/>
      <c r="G80" s="104"/>
      <c r="H80" s="104"/>
      <c r="I80" s="108"/>
      <c r="J80" s="226"/>
      <c r="K80" s="104"/>
      <c r="L80" s="104"/>
      <c r="M80" s="104"/>
      <c r="N80" s="104"/>
      <c r="O80" s="104"/>
      <c r="P80" s="104"/>
      <c r="Q80" s="108"/>
      <c r="R80" s="106"/>
      <c r="S80" s="106"/>
      <c r="T80" s="106"/>
      <c r="U80" s="106"/>
      <c r="V80" s="106"/>
    </row>
    <row r="81" spans="1:22" ht="20" customHeight="1">
      <c r="A81" s="104"/>
      <c r="B81" s="226"/>
      <c r="C81" s="104"/>
      <c r="D81" s="104"/>
      <c r="E81" s="104"/>
      <c r="F81" s="104"/>
      <c r="G81" s="104"/>
      <c r="H81" s="104"/>
      <c r="I81" s="108"/>
      <c r="J81" s="226"/>
      <c r="K81" s="104"/>
      <c r="L81" s="104"/>
      <c r="M81" s="104"/>
      <c r="N81" s="104"/>
      <c r="O81" s="104"/>
      <c r="P81" s="104"/>
      <c r="Q81" s="108"/>
      <c r="R81" s="106"/>
      <c r="S81" s="106"/>
      <c r="T81" s="106"/>
      <c r="U81" s="106"/>
      <c r="V81" s="106"/>
    </row>
    <row r="82" spans="1:22" ht="20" customHeight="1">
      <c r="A82" s="104"/>
      <c r="B82" s="226"/>
      <c r="C82" s="104"/>
      <c r="D82" s="104"/>
      <c r="E82" s="104"/>
      <c r="F82" s="104"/>
      <c r="G82" s="104"/>
      <c r="H82" s="104"/>
      <c r="I82" s="108"/>
      <c r="J82" s="226"/>
      <c r="K82" s="104"/>
      <c r="L82" s="104"/>
      <c r="M82" s="104"/>
      <c r="N82" s="104"/>
      <c r="O82" s="104"/>
      <c r="P82" s="104"/>
      <c r="Q82" s="108"/>
      <c r="R82" s="106"/>
      <c r="S82" s="106"/>
      <c r="T82" s="106"/>
      <c r="U82" s="106"/>
      <c r="V82" s="106"/>
    </row>
    <row r="83" spans="1:22" ht="20" customHeight="1">
      <c r="A83" s="104"/>
      <c r="B83" s="226"/>
      <c r="C83" s="104"/>
      <c r="D83" s="104"/>
      <c r="E83" s="104"/>
      <c r="F83" s="104"/>
      <c r="G83" s="104"/>
      <c r="H83" s="104"/>
      <c r="I83" s="108"/>
      <c r="J83" s="226"/>
      <c r="K83" s="104"/>
      <c r="L83" s="104"/>
      <c r="M83" s="104"/>
      <c r="N83" s="104"/>
      <c r="O83" s="104"/>
      <c r="P83" s="104"/>
      <c r="Q83" s="108"/>
      <c r="R83" s="106"/>
      <c r="S83" s="106"/>
      <c r="T83" s="106"/>
      <c r="U83" s="106"/>
      <c r="V83" s="106"/>
    </row>
    <row r="84" spans="1:22" ht="20" customHeight="1">
      <c r="A84" s="104"/>
      <c r="B84" s="226"/>
      <c r="C84" s="104"/>
      <c r="D84" s="104"/>
      <c r="E84" s="104"/>
      <c r="F84" s="104"/>
      <c r="G84" s="104"/>
      <c r="H84" s="104"/>
      <c r="I84" s="108"/>
      <c r="J84" s="226"/>
      <c r="K84" s="104"/>
      <c r="L84" s="104"/>
      <c r="M84" s="104"/>
      <c r="N84" s="104"/>
      <c r="O84" s="104"/>
      <c r="P84" s="104"/>
      <c r="Q84" s="108"/>
      <c r="R84" s="106"/>
      <c r="S84" s="106"/>
      <c r="T84" s="106"/>
      <c r="U84" s="106"/>
      <c r="V84" s="106"/>
    </row>
    <row r="85" spans="1:22" ht="20" customHeight="1">
      <c r="A85" s="104"/>
      <c r="B85" s="226"/>
      <c r="C85" s="104"/>
      <c r="D85" s="104"/>
      <c r="E85" s="104"/>
      <c r="F85" s="104"/>
      <c r="G85" s="104"/>
      <c r="H85" s="104"/>
      <c r="I85" s="108"/>
      <c r="J85" s="226"/>
      <c r="K85" s="104"/>
      <c r="L85" s="104"/>
      <c r="M85" s="104"/>
      <c r="N85" s="104"/>
      <c r="O85" s="104"/>
      <c r="P85" s="104"/>
      <c r="Q85" s="108"/>
      <c r="R85" s="106"/>
      <c r="S85" s="106"/>
      <c r="T85" s="106"/>
      <c r="U85" s="106"/>
      <c r="V85" s="106"/>
    </row>
    <row r="86" spans="1:22" ht="20" customHeight="1">
      <c r="A86" s="104"/>
      <c r="B86" s="226"/>
      <c r="C86" s="104"/>
      <c r="D86" s="104"/>
      <c r="E86" s="104"/>
      <c r="F86" s="104"/>
      <c r="G86" s="104"/>
      <c r="H86" s="104"/>
      <c r="I86" s="108"/>
      <c r="J86" s="226"/>
      <c r="K86" s="104"/>
      <c r="L86" s="104"/>
      <c r="M86" s="104"/>
      <c r="N86" s="104"/>
      <c r="O86" s="104"/>
      <c r="P86" s="104"/>
      <c r="Q86" s="108"/>
      <c r="R86" s="106"/>
      <c r="S86" s="106"/>
      <c r="T86" s="106"/>
      <c r="U86" s="106"/>
      <c r="V86" s="106"/>
    </row>
    <row r="87" spans="1:22" ht="20" customHeight="1">
      <c r="A87" s="104"/>
      <c r="B87" s="226"/>
      <c r="C87" s="104"/>
      <c r="D87" s="104"/>
      <c r="E87" s="104"/>
      <c r="F87" s="104"/>
      <c r="G87" s="104"/>
      <c r="H87" s="104"/>
      <c r="I87" s="108"/>
      <c r="J87" s="226"/>
      <c r="K87" s="104"/>
      <c r="L87" s="104"/>
      <c r="M87" s="104"/>
      <c r="N87" s="104"/>
      <c r="O87" s="104"/>
      <c r="P87" s="104"/>
      <c r="Q87" s="108"/>
      <c r="R87" s="106"/>
      <c r="S87" s="106"/>
      <c r="T87" s="106"/>
      <c r="U87" s="106"/>
      <c r="V87" s="106"/>
    </row>
    <row r="88" spans="1:22" ht="20" customHeight="1">
      <c r="A88" s="104"/>
      <c r="B88" s="226"/>
      <c r="C88" s="104"/>
      <c r="D88" s="104"/>
      <c r="E88" s="104"/>
      <c r="F88" s="104"/>
      <c r="G88" s="104"/>
      <c r="H88" s="104"/>
      <c r="I88" s="108"/>
      <c r="J88" s="226"/>
      <c r="K88" s="104"/>
      <c r="L88" s="104"/>
      <c r="M88" s="104"/>
      <c r="N88" s="104"/>
      <c r="O88" s="104"/>
      <c r="P88" s="104"/>
      <c r="Q88" s="108"/>
      <c r="R88" s="106"/>
      <c r="S88" s="106"/>
      <c r="T88" s="106"/>
      <c r="U88" s="106"/>
      <c r="V88" s="106"/>
    </row>
    <row r="89" spans="1:22" ht="20" customHeight="1">
      <c r="A89" s="104"/>
      <c r="B89" s="226"/>
      <c r="C89" s="104"/>
      <c r="D89" s="104"/>
      <c r="E89" s="104"/>
      <c r="F89" s="104"/>
      <c r="G89" s="104"/>
      <c r="H89" s="104"/>
      <c r="I89" s="108"/>
      <c r="J89" s="226"/>
      <c r="K89" s="104"/>
      <c r="L89" s="104"/>
      <c r="M89" s="104"/>
      <c r="N89" s="104"/>
      <c r="O89" s="104"/>
      <c r="P89" s="104"/>
      <c r="Q89" s="108"/>
      <c r="R89" s="106"/>
      <c r="S89" s="106"/>
      <c r="T89" s="106"/>
      <c r="U89" s="106"/>
      <c r="V89" s="106"/>
    </row>
    <row r="90" spans="1:22" ht="20" customHeight="1">
      <c r="A90" s="104"/>
      <c r="B90" s="226"/>
      <c r="C90" s="104"/>
      <c r="D90" s="104"/>
      <c r="E90" s="104"/>
      <c r="F90" s="104"/>
      <c r="G90" s="104"/>
      <c r="H90" s="104"/>
      <c r="I90" s="108"/>
      <c r="J90" s="226"/>
      <c r="K90" s="104"/>
      <c r="L90" s="104"/>
      <c r="M90" s="104"/>
      <c r="N90" s="104"/>
      <c r="O90" s="104"/>
      <c r="P90" s="104"/>
      <c r="Q90" s="108"/>
      <c r="R90" s="106"/>
      <c r="S90" s="106"/>
      <c r="T90" s="106"/>
      <c r="U90" s="106"/>
      <c r="V90" s="106"/>
    </row>
    <row r="91" spans="1:22" ht="20" customHeight="1">
      <c r="A91" s="104"/>
      <c r="B91" s="226"/>
      <c r="C91" s="104"/>
      <c r="D91" s="104"/>
      <c r="E91" s="104"/>
      <c r="F91" s="104"/>
      <c r="G91" s="104"/>
      <c r="H91" s="104"/>
      <c r="I91" s="108"/>
      <c r="J91" s="226"/>
      <c r="K91" s="104"/>
      <c r="L91" s="104"/>
      <c r="M91" s="104"/>
      <c r="N91" s="104"/>
      <c r="O91" s="104"/>
      <c r="P91" s="104"/>
      <c r="Q91" s="108"/>
      <c r="R91" s="106"/>
      <c r="S91" s="106"/>
      <c r="T91" s="106"/>
      <c r="U91" s="106"/>
      <c r="V91" s="106"/>
    </row>
    <row r="92" spans="1:22" ht="20" customHeight="1">
      <c r="A92" s="104"/>
      <c r="B92" s="226"/>
      <c r="C92" s="104"/>
      <c r="D92" s="104"/>
      <c r="E92" s="104"/>
      <c r="F92" s="104"/>
      <c r="G92" s="104"/>
      <c r="H92" s="104"/>
      <c r="I92" s="108"/>
      <c r="J92" s="226"/>
      <c r="K92" s="104"/>
      <c r="L92" s="104"/>
      <c r="M92" s="104"/>
      <c r="N92" s="104"/>
      <c r="O92" s="104"/>
      <c r="P92" s="104"/>
      <c r="Q92" s="108"/>
      <c r="R92" s="106"/>
      <c r="S92" s="106"/>
      <c r="T92" s="106"/>
      <c r="U92" s="106"/>
      <c r="V92" s="106"/>
    </row>
    <row r="93" spans="1:22" ht="20" customHeight="1">
      <c r="A93" s="104"/>
      <c r="B93" s="226"/>
      <c r="C93" s="104"/>
      <c r="D93" s="104"/>
      <c r="E93" s="104"/>
      <c r="F93" s="104"/>
      <c r="G93" s="104"/>
      <c r="H93" s="104"/>
      <c r="I93" s="108"/>
      <c r="J93" s="226"/>
      <c r="K93" s="104"/>
      <c r="L93" s="104"/>
      <c r="M93" s="104"/>
      <c r="N93" s="104"/>
      <c r="O93" s="104"/>
      <c r="P93" s="104"/>
      <c r="Q93" s="108"/>
      <c r="R93" s="106"/>
      <c r="S93" s="106"/>
      <c r="T93" s="106"/>
      <c r="U93" s="106"/>
      <c r="V93" s="106"/>
    </row>
    <row r="94" spans="1:22" ht="20" customHeight="1">
      <c r="A94" s="104"/>
      <c r="B94" s="226"/>
      <c r="C94" s="104"/>
      <c r="D94" s="104"/>
      <c r="E94" s="104"/>
      <c r="F94" s="104"/>
      <c r="G94" s="104"/>
      <c r="H94" s="104"/>
      <c r="I94" s="108"/>
      <c r="J94" s="226"/>
      <c r="K94" s="104"/>
      <c r="L94" s="104"/>
      <c r="M94" s="104"/>
      <c r="N94" s="104"/>
      <c r="O94" s="104"/>
      <c r="P94" s="104"/>
      <c r="Q94" s="108"/>
      <c r="R94" s="106"/>
      <c r="S94" s="106"/>
      <c r="T94" s="106"/>
      <c r="U94" s="106"/>
      <c r="V94" s="106"/>
    </row>
    <row r="95" spans="1:22" ht="20" customHeight="1">
      <c r="A95" s="104"/>
      <c r="B95" s="226"/>
      <c r="C95" s="104"/>
      <c r="D95" s="104"/>
      <c r="E95" s="104"/>
      <c r="F95" s="104"/>
      <c r="G95" s="104"/>
      <c r="H95" s="104"/>
      <c r="I95" s="108"/>
      <c r="J95" s="226"/>
      <c r="K95" s="104"/>
      <c r="L95" s="104"/>
      <c r="M95" s="104"/>
      <c r="N95" s="104"/>
      <c r="O95" s="104"/>
      <c r="P95" s="104"/>
      <c r="Q95" s="108"/>
      <c r="R95" s="106"/>
      <c r="S95" s="106"/>
      <c r="T95" s="106"/>
      <c r="U95" s="106"/>
      <c r="V95" s="106"/>
    </row>
  </sheetData>
  <sheetProtection formatCells="0" formatColumns="0" formatRows="0" selectLockedCells="1" sort="0" autoFilter="0" pivotTables="0"/>
  <mergeCells count="10">
    <mergeCell ref="B24:D26"/>
    <mergeCell ref="J24:L26"/>
    <mergeCell ref="J40:L42"/>
    <mergeCell ref="N7:O7"/>
    <mergeCell ref="F10:G11"/>
    <mergeCell ref="H10:H11"/>
    <mergeCell ref="B9:D11"/>
    <mergeCell ref="J9:L11"/>
    <mergeCell ref="B7:F7"/>
    <mergeCell ref="B40:D42"/>
  </mergeCells>
  <conditionalFormatting sqref="G13:G22">
    <cfRule type="expression" dxfId="155" priority="141">
      <formula>$I13=1</formula>
    </cfRule>
    <cfRule type="expression" dxfId="154" priority="140">
      <formula>$I13=0</formula>
    </cfRule>
    <cfRule type="expression" dxfId="153" priority="51">
      <formula>$F13=""</formula>
    </cfRule>
  </conditionalFormatting>
  <conditionalFormatting sqref="G28:G37">
    <cfRule type="expression" dxfId="152" priority="493">
      <formula>I28=1</formula>
    </cfRule>
    <cfRule type="expression" dxfId="151" priority="492">
      <formula>I28=0</formula>
    </cfRule>
    <cfRule type="expression" dxfId="150" priority="49">
      <formula>$F28=""</formula>
    </cfRule>
  </conditionalFormatting>
  <conditionalFormatting sqref="G44:G53">
    <cfRule type="expression" dxfId="149" priority="47">
      <formula>$F44=""</formula>
    </cfRule>
    <cfRule type="expression" dxfId="148" priority="491">
      <formula>$I44=1</formula>
    </cfRule>
    <cfRule type="expression" dxfId="147" priority="490">
      <formula>$I44=0</formula>
    </cfRule>
  </conditionalFormatting>
  <conditionalFormatting sqref="O13:O22">
    <cfRule type="expression" dxfId="119" priority="50">
      <formula>$N13=""</formula>
    </cfRule>
    <cfRule type="expression" dxfId="118" priority="488">
      <formula>Q13=0</formula>
    </cfRule>
    <cfRule type="expression" dxfId="117" priority="489">
      <formula>Q13=1</formula>
    </cfRule>
  </conditionalFormatting>
  <conditionalFormatting sqref="O28:O37">
    <cfRule type="expression" dxfId="116" priority="486">
      <formula>$Q28=0</formula>
    </cfRule>
    <cfRule type="expression" dxfId="115" priority="487">
      <formula>$Q28=1</formula>
    </cfRule>
    <cfRule type="expression" dxfId="114" priority="48">
      <formula>$N28=""</formula>
    </cfRule>
  </conditionalFormatting>
  <conditionalFormatting sqref="O44:O53">
    <cfRule type="expression" dxfId="113" priority="46">
      <formula>$N44=""</formula>
    </cfRule>
    <cfRule type="expression" dxfId="112" priority="494">
      <formula>$Q44=0</formula>
    </cfRule>
    <cfRule type="expression" dxfId="111" priority="495">
      <formula>$Q44=1</formula>
    </cfRule>
  </conditionalFormatting>
  <dataValidations count="1">
    <dataValidation type="list" allowBlank="1" showInputMessage="1" showErrorMessage="1" sqref="P7" xr:uid="{3185C7B3-54A4-4A94-94BB-F1CE0797CE98}">
      <formula1>month</formula1>
    </dataValidation>
  </dataValidations>
  <pageMargins left="0.25" right="0.25" top="0.75" bottom="0.75" header="0.3" footer="0.3"/>
  <pageSetup paperSize="9" scale="60" orientation="landscape" r:id="rId1"/>
  <rowBreaks count="1" manualBreakCount="1">
    <brk id="38" max="16"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9" id="{3FE9CD1C-3870-4F45-A0C3-BC501EFC7179}">
            <xm:f>'O1'!$F12=Data!$H$2</xm:f>
            <x14:dxf>
              <numFmt numFmtId="13" formatCode="0%"/>
            </x14:dxf>
          </x14:cfRule>
          <x14:cfRule type="expression" priority="68" id="{2AC6AA76-409E-424A-A754-C844440DDF34}">
            <xm:f>'O1'!$F12=Data!$H$3</xm:f>
            <x14:dxf>
              <numFmt numFmtId="165" formatCode="0.0%"/>
            </x14:dxf>
          </x14:cfRule>
          <x14:cfRule type="expression" priority="67" id="{1255FA39-9167-4186-8FF4-B157D308A126}">
            <xm:f>'O1'!$F12=Data!$H$4</xm:f>
            <x14:dxf>
              <numFmt numFmtId="3" formatCode="#,##0"/>
            </x14:dxf>
          </x14:cfRule>
          <x14:cfRule type="expression" priority="66" id="{ACF0BC70-B8C1-409E-9FC1-4225358AB5F6}">
            <xm:f>'O1'!$F12=Data!$H$5</xm:f>
            <x14:dxf>
              <numFmt numFmtId="3" formatCode="#,##0"/>
            </x14:dxf>
          </x14:cfRule>
          <x14:cfRule type="expression" priority="65" id="{210EEFE8-6A68-40B1-9FA1-4805438EE582}">
            <xm:f>'O1'!$F12=Data!$H$6</xm:f>
            <x14:dxf>
              <numFmt numFmtId="169" formatCode="#,##0\ &quot;$&quot;"/>
            </x14:dxf>
          </x14:cfRule>
          <x14:cfRule type="expression" priority="64" id="{35E4EB4C-CD22-4345-AF43-DADBEF52A9F6}">
            <xm:f>'O1'!$F12=Data!$H$7</xm:f>
            <x14:dxf>
              <numFmt numFmtId="168" formatCode="[$$-409]#,##0"/>
            </x14:dxf>
          </x14:cfRule>
          <x14:cfRule type="expression" priority="63" id="{16E54A81-3FDD-4951-BC2C-C8F76352A8EE}">
            <xm:f>'O1'!$F12=Data!$H$8</xm:f>
            <x14:dxf>
              <numFmt numFmtId="167" formatCode="#,##0\ [$€-1]"/>
            </x14:dxf>
          </x14:cfRule>
          <x14:cfRule type="expression" priority="62" id="{68569AF9-BD40-4739-946F-C51C9A126B74}">
            <xm:f>'O1'!$F12=Data!$H$9</xm:f>
            <x14:dxf>
              <numFmt numFmtId="170" formatCode="[$£-491]#,##0"/>
            </x14:dxf>
          </x14:cfRule>
          <x14:cfRule type="expression" priority="61" id="{51802D87-C019-4783-85B7-CA0DC6DBA386}">
            <xm:f>'O1'!$F12=Data!$H$10</xm:f>
            <x14:dxf>
              <numFmt numFmtId="166" formatCode="[$R$-416]\ #,##0"/>
            </x14:dxf>
          </x14:cfRule>
          <xm:sqref>D13:E22</xm:sqref>
        </x14:conditionalFormatting>
        <x14:conditionalFormatting xmlns:xm="http://schemas.microsoft.com/office/excel/2006/main">
          <x14:cfRule type="expression" priority="37" id="{8341B2F4-5250-4555-9035-7D5607DCE025}">
            <xm:f>'O3'!$F12=Data!$H$10</xm:f>
            <x14:dxf>
              <numFmt numFmtId="166" formatCode="[$R$-416]\ #,##0"/>
            </x14:dxf>
          </x14:cfRule>
          <x14:cfRule type="expression" priority="45" id="{DFC2FFF7-215C-46AD-AF33-EE63EA8E1067}">
            <xm:f>'O3'!$F12=Data!$H$2</xm:f>
            <x14:dxf>
              <numFmt numFmtId="13" formatCode="0%"/>
            </x14:dxf>
          </x14:cfRule>
          <x14:cfRule type="expression" priority="44" id="{9FDBC1C7-754B-480C-A2C6-0F7AE9A99DD1}">
            <xm:f>'O3'!$F12=Data!$H$3</xm:f>
            <x14:dxf>
              <numFmt numFmtId="165" formatCode="0.0%"/>
            </x14:dxf>
          </x14:cfRule>
          <x14:cfRule type="expression" priority="43" id="{5EC6A14F-D4CA-4E4C-A390-F92A6BBD8462}">
            <xm:f>'O3'!$F12=Data!$H$4</xm:f>
            <x14:dxf>
              <numFmt numFmtId="3" formatCode="#,##0"/>
            </x14:dxf>
          </x14:cfRule>
          <x14:cfRule type="expression" priority="42" id="{A2842596-6932-406D-9B5D-9DE1ED9E6F0E}">
            <xm:f>'O3'!$F12=Data!$H$5</xm:f>
            <x14:dxf>
              <numFmt numFmtId="3" formatCode="#,##0"/>
            </x14:dxf>
          </x14:cfRule>
          <x14:cfRule type="expression" priority="41" id="{C849F055-7191-4785-BB9C-0D88FC2F4821}">
            <xm:f>'O3'!$F12=Data!$H$6</xm:f>
            <x14:dxf>
              <numFmt numFmtId="169" formatCode="#,##0\ &quot;$&quot;"/>
            </x14:dxf>
          </x14:cfRule>
          <x14:cfRule type="expression" priority="40" id="{8DCF1B0E-9EBC-4FED-A960-565364ABF32C}">
            <xm:f>'O3'!$F12=Data!$H$7</xm:f>
            <x14:dxf>
              <numFmt numFmtId="168" formatCode="[$$-409]#,##0"/>
            </x14:dxf>
          </x14:cfRule>
          <x14:cfRule type="expression" priority="39" id="{3DA588D4-4833-44CF-9547-72B52B7593E8}">
            <xm:f>'O3'!$F12=Data!$H$8</xm:f>
            <x14:dxf>
              <numFmt numFmtId="167" formatCode="#,##0\ [$€-1]"/>
            </x14:dxf>
          </x14:cfRule>
          <x14:cfRule type="expression" priority="38" id="{8E835116-A38D-4328-8633-3BFA5915E003}">
            <xm:f>'O3'!$F12=Data!$H$9</xm:f>
            <x14:dxf>
              <numFmt numFmtId="170" formatCode="[$£-491]#,##0"/>
            </x14:dxf>
          </x14:cfRule>
          <xm:sqref>D28:E37</xm:sqref>
        </x14:conditionalFormatting>
        <x14:conditionalFormatting xmlns:xm="http://schemas.microsoft.com/office/excel/2006/main">
          <x14:cfRule type="expression" priority="19" id="{367F53AF-A210-43A3-B625-2D70D0DE00D8}">
            <xm:f>'O5'!$F12=Data!$H$10</xm:f>
            <x14:dxf>
              <numFmt numFmtId="166" formatCode="[$R$-416]\ #,##0"/>
            </x14:dxf>
          </x14:cfRule>
          <x14:cfRule type="expression" priority="20" id="{7B2A6474-B25C-4911-9D19-1BD0AFDFCE34}">
            <xm:f>'O5'!$F12=Data!$H$9</xm:f>
            <x14:dxf>
              <numFmt numFmtId="170" formatCode="[$£-491]#,##0"/>
            </x14:dxf>
          </x14:cfRule>
          <x14:cfRule type="expression" priority="21" id="{47ADC723-DC90-4CE8-A4E4-9D9121D8D4EA}">
            <xm:f>'O5'!$F12=Data!$H$8</xm:f>
            <x14:dxf>
              <numFmt numFmtId="167" formatCode="#,##0\ [$€-1]"/>
            </x14:dxf>
          </x14:cfRule>
          <x14:cfRule type="expression" priority="22" id="{F4ADC9B8-2790-4673-8D54-57605CC52DF5}">
            <xm:f>'O5'!$F12=Data!$H$7</xm:f>
            <x14:dxf>
              <numFmt numFmtId="168" formatCode="[$$-409]#,##0"/>
            </x14:dxf>
          </x14:cfRule>
          <x14:cfRule type="expression" priority="23" id="{8D161118-E4C9-4DCA-A2F3-2A6EBE3B300B}">
            <xm:f>'O5'!$F12=Data!$H$6</xm:f>
            <x14:dxf>
              <numFmt numFmtId="169" formatCode="#,##0\ &quot;$&quot;"/>
            </x14:dxf>
          </x14:cfRule>
          <x14:cfRule type="expression" priority="27" id="{5FAD0ED7-68E5-4768-BD14-6FBA00935BB6}">
            <xm:f>'O5'!$F12=Data!$H$2</xm:f>
            <x14:dxf>
              <numFmt numFmtId="13" formatCode="0%"/>
            </x14:dxf>
          </x14:cfRule>
          <x14:cfRule type="expression" priority="24" id="{C16A5927-4A94-4A7A-9D50-6046157C0D1F}">
            <xm:f>'O5'!$F12=Data!$H$5</xm:f>
            <x14:dxf>
              <numFmt numFmtId="3" formatCode="#,##0"/>
            </x14:dxf>
          </x14:cfRule>
          <x14:cfRule type="expression" priority="25" id="{CC068431-7C7E-4940-9F16-D946D753C778}">
            <xm:f>'O5'!$F12=Data!$H$4</xm:f>
            <x14:dxf>
              <numFmt numFmtId="3" formatCode="#,##0"/>
            </x14:dxf>
          </x14:cfRule>
          <x14:cfRule type="expression" priority="26" id="{EF650C2E-A741-4AE2-8B0B-72C0A13F7284}">
            <xm:f>'O5'!$F12=Data!$H$3</xm:f>
            <x14:dxf>
              <numFmt numFmtId="165" formatCode="0.0%"/>
            </x14:dxf>
          </x14:cfRule>
          <xm:sqref>D44:E53</xm:sqref>
        </x14:conditionalFormatting>
        <x14:conditionalFormatting xmlns:xm="http://schemas.microsoft.com/office/excel/2006/main">
          <x14:cfRule type="expression" priority="54" id="{0610D418-7A2E-4A8E-8FE1-7DD5406793C6}">
            <xm:f>'O2'!$F12=Data!$H$8</xm:f>
            <x14:dxf>
              <numFmt numFmtId="167" formatCode="#,##0\ [$€-1]"/>
            </x14:dxf>
          </x14:cfRule>
          <x14:cfRule type="expression" priority="52" id="{5C0A59DF-00BC-42E2-8BD3-AD29DA36B41D}">
            <xm:f>'O2'!$F12=Data!$H$10</xm:f>
            <x14:dxf>
              <numFmt numFmtId="166" formatCode="[$R$-416]\ #,##0"/>
            </x14:dxf>
          </x14:cfRule>
          <x14:cfRule type="expression" priority="53" id="{01D1452F-202B-4497-8642-9486F3CEEE36}">
            <xm:f>'O2'!$F12=Data!$H$9</xm:f>
            <x14:dxf>
              <numFmt numFmtId="170" formatCode="[$£-491]#,##0"/>
            </x14:dxf>
          </x14:cfRule>
          <x14:cfRule type="expression" priority="55" id="{950754EC-5D84-440D-A7FD-E0A354AD226C}">
            <xm:f>'O2'!$F12=Data!$H$7</xm:f>
            <x14:dxf>
              <numFmt numFmtId="168" formatCode="[$$-409]#,##0"/>
            </x14:dxf>
          </x14:cfRule>
          <x14:cfRule type="expression" priority="56" id="{E416BC12-86EA-45D0-84B1-C7BD9A826590}">
            <xm:f>'O2'!$F12=Data!$H$6</xm:f>
            <x14:dxf>
              <numFmt numFmtId="169" formatCode="#,##0\ &quot;$&quot;"/>
            </x14:dxf>
          </x14:cfRule>
          <x14:cfRule type="expression" priority="57" id="{06E1D813-5685-452C-87B8-6DCFAE0D3C05}">
            <xm:f>'O2'!$F12=Data!$H$5</xm:f>
            <x14:dxf>
              <numFmt numFmtId="3" formatCode="#,##0"/>
            </x14:dxf>
          </x14:cfRule>
          <x14:cfRule type="expression" priority="58" id="{B4685413-E465-4330-B028-229626506BD3}">
            <xm:f>'O2'!$F12=Data!$H$4</xm:f>
            <x14:dxf>
              <numFmt numFmtId="3" formatCode="#,##0"/>
            </x14:dxf>
          </x14:cfRule>
          <x14:cfRule type="expression" priority="59" id="{4D9AC5B8-3E2E-4892-B6DA-229E7099E106}">
            <xm:f>'O2'!$F12=Data!$H$3</xm:f>
            <x14:dxf>
              <numFmt numFmtId="165" formatCode="0.0%"/>
            </x14:dxf>
          </x14:cfRule>
          <x14:cfRule type="expression" priority="60" id="{2C8068A8-B881-495E-91A4-8E9B5D810AD6}">
            <xm:f>'O2'!$F12=Data!$H$2</xm:f>
            <x14:dxf>
              <numFmt numFmtId="13" formatCode="0%"/>
            </x14:dxf>
          </x14:cfRule>
          <xm:sqref>L13:M22</xm:sqref>
        </x14:conditionalFormatting>
        <x14:conditionalFormatting xmlns:xm="http://schemas.microsoft.com/office/excel/2006/main">
          <x14:cfRule type="expression" priority="28" id="{5144223A-2530-4834-BB9A-765BE5D07EAF}">
            <xm:f>'O4'!$F12=Data!$H$10</xm:f>
            <x14:dxf>
              <numFmt numFmtId="166" formatCode="[$R$-416]\ #,##0"/>
            </x14:dxf>
          </x14:cfRule>
          <x14:cfRule type="expression" priority="30" id="{A1FA6184-6C52-4327-9A6B-F87499EC9063}">
            <xm:f>'O4'!$F12=Data!$H$8</xm:f>
            <x14:dxf>
              <numFmt numFmtId="167" formatCode="#,##0\ [$€-1]"/>
            </x14:dxf>
          </x14:cfRule>
          <x14:cfRule type="expression" priority="31" id="{A602A036-02A2-49EB-816F-7BEA34F6947C}">
            <xm:f>'O4'!$F12=Data!$H$7</xm:f>
            <x14:dxf>
              <numFmt numFmtId="168" formatCode="[$$-409]#,##0"/>
            </x14:dxf>
          </x14:cfRule>
          <x14:cfRule type="expression" priority="32" id="{32AF190B-334A-4527-AF3C-5AE30F41D7B2}">
            <xm:f>'O4'!$F12=Data!$H$6</xm:f>
            <x14:dxf>
              <numFmt numFmtId="169" formatCode="#,##0\ &quot;$&quot;"/>
            </x14:dxf>
          </x14:cfRule>
          <x14:cfRule type="expression" priority="33" id="{BA48C3B5-AE6C-4D95-AE95-FC17D90112D2}">
            <xm:f>'O4'!$F12=Data!$H$5</xm:f>
            <x14:dxf>
              <numFmt numFmtId="3" formatCode="#,##0"/>
            </x14:dxf>
          </x14:cfRule>
          <x14:cfRule type="expression" priority="34" id="{DA95135E-6D12-4C13-8B81-62D2477BB321}">
            <xm:f>'O4'!$F12=Data!$H$4</xm:f>
            <x14:dxf>
              <numFmt numFmtId="3" formatCode="#,##0"/>
            </x14:dxf>
          </x14:cfRule>
          <x14:cfRule type="expression" priority="35" id="{C41F5329-C6E8-4092-97E0-B361096DDFF0}">
            <xm:f>'O4'!$F12=Data!$H$3</xm:f>
            <x14:dxf>
              <numFmt numFmtId="165" formatCode="0.0%"/>
            </x14:dxf>
          </x14:cfRule>
          <x14:cfRule type="expression" priority="36" id="{D60CA60B-79EA-496F-A66A-2BCD86D78536}">
            <xm:f>'O4'!$F12=Data!$H$2</xm:f>
            <x14:dxf>
              <numFmt numFmtId="13" formatCode="0%"/>
            </x14:dxf>
          </x14:cfRule>
          <x14:cfRule type="expression" priority="29" id="{897FC0C6-3A2C-453D-8E89-5D80A8598B8B}">
            <xm:f>'O4'!$F12=Data!$H$9</xm:f>
            <x14:dxf>
              <numFmt numFmtId="170" formatCode="[$£-491]#,##0"/>
            </x14:dxf>
          </x14:cfRule>
          <xm:sqref>L28:M37</xm:sqref>
        </x14:conditionalFormatting>
        <x14:conditionalFormatting xmlns:xm="http://schemas.microsoft.com/office/excel/2006/main">
          <x14:cfRule type="expression" priority="7" id="{1C0DFA32-3CAF-400C-B628-2C566C07F3A5}">
            <xm:f>'O6'!$F12=Data!$H$4</xm:f>
            <x14:dxf>
              <numFmt numFmtId="3" formatCode="#,##0"/>
            </x14:dxf>
          </x14:cfRule>
          <x14:cfRule type="expression" priority="9" id="{AD7C6601-8341-43BE-A8AE-06FEE988425A}">
            <xm:f>'O6'!$F12=Data!$H$2</xm:f>
            <x14:dxf>
              <numFmt numFmtId="13" formatCode="0%"/>
            </x14:dxf>
          </x14:cfRule>
          <x14:cfRule type="expression" priority="8" id="{D2A6CD90-738F-45E4-A34C-58CCA4B27CCA}">
            <xm:f>'O6'!$F12=Data!$H$3</xm:f>
            <x14:dxf>
              <numFmt numFmtId="165" formatCode="0.0%"/>
            </x14:dxf>
          </x14:cfRule>
          <x14:cfRule type="expression" priority="6" id="{FB3A13C3-5338-44BF-B46D-00B623135421}">
            <xm:f>'O6'!$F12=Data!$H$5</xm:f>
            <x14:dxf>
              <numFmt numFmtId="3" formatCode="#,##0"/>
            </x14:dxf>
          </x14:cfRule>
          <x14:cfRule type="expression" priority="2" id="{D0C214E3-50CE-490E-B23F-257E9FBD0F39}">
            <xm:f>'O6'!$F12=Data!$H$9</xm:f>
            <x14:dxf>
              <numFmt numFmtId="170" formatCode="[$£-491]#,##0"/>
            </x14:dxf>
          </x14:cfRule>
          <x14:cfRule type="expression" priority="5" id="{559553BB-9A57-4985-935B-D64F20D99A2D}">
            <xm:f>'O6'!$F12=Data!$H$6</xm:f>
            <x14:dxf>
              <numFmt numFmtId="169" formatCode="#,##0\ &quot;$&quot;"/>
            </x14:dxf>
          </x14:cfRule>
          <x14:cfRule type="expression" priority="4" id="{7804A5DE-C612-4697-962F-A96C9DF38560}">
            <xm:f>'O6'!$F12=Data!$H$7</xm:f>
            <x14:dxf>
              <numFmt numFmtId="168" formatCode="[$$-409]#,##0"/>
            </x14:dxf>
          </x14:cfRule>
          <x14:cfRule type="expression" priority="3" id="{7B79B533-B727-448A-87D7-1CB555CA4109}">
            <xm:f>'O6'!$F12=Data!$H$8</xm:f>
            <x14:dxf>
              <numFmt numFmtId="167" formatCode="#,##0\ [$€-1]"/>
            </x14:dxf>
          </x14:cfRule>
          <x14:cfRule type="expression" priority="1" id="{06D6AEA5-2D10-4AAA-973F-892A8796E5D1}">
            <xm:f>'O6'!$F12=Data!$H$10</xm:f>
            <x14:dxf>
              <numFmt numFmtId="166" formatCode="[$R$-416]\ #,##0"/>
            </x14:dxf>
          </x14:cfRule>
          <xm:sqref>L44:M53</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markers="1" xr2:uid="{DC6E57B4-4212-4D0C-9109-4B9E2B1EC303}">
          <x14:colorSeries theme="0" tint="-0.34998626667073579"/>
          <x14:colorNegative rgb="FFD00000"/>
          <x14:colorAxis rgb="FF000000"/>
          <x14:colorMarkers rgb="FF324B49"/>
          <x14:colorFirst rgb="FFD00000"/>
          <x14:colorLast rgb="FFD00000"/>
          <x14:colorHigh rgb="FFD00000"/>
          <x14:colorLow rgb="FFD00000"/>
          <x14:sparklines>
            <x14:sparkline>
              <xm:f>'KPI2'!E39:P39</xm:f>
              <xm:sqref>P22</xm:sqref>
            </x14:sparkline>
          </x14:sparklines>
        </x14:sparklineGroup>
        <x14:sparklineGroup manualMax="0" manualMin="0" displayEmptyCellsAs="gap" markers="1" xr2:uid="{B61BAFB0-D9F1-49DC-9A9A-97DE73C39886}">
          <x14:colorSeries theme="0" tint="-0.34998626667073579"/>
          <x14:colorNegative rgb="FFD00000"/>
          <x14:colorAxis rgb="FF000000"/>
          <x14:colorMarkers rgb="FF324B49"/>
          <x14:colorFirst rgb="FFD00000"/>
          <x14:colorLast rgb="FFD00000"/>
          <x14:colorHigh rgb="FFD00000"/>
          <x14:colorLow rgb="FFD00000"/>
          <x14:sparklines>
            <x14:sparkline>
              <xm:f>'KPI5'!E12:P12</xm:f>
              <xm:sqref>H44</xm:sqref>
            </x14:sparkline>
          </x14:sparklines>
        </x14:sparklineGroup>
        <x14:sparklineGroup manualMax="0" manualMin="0" displayEmptyCellsAs="gap" markers="1" xr2:uid="{0FE34D8A-2D5C-40A6-AA7F-7AD3DDF99DFB}">
          <x14:colorSeries theme="0" tint="-0.34998626667073579"/>
          <x14:colorNegative rgb="FFD00000"/>
          <x14:colorAxis rgb="FF000000"/>
          <x14:colorMarkers rgb="FF324B49"/>
          <x14:colorFirst rgb="FFD00000"/>
          <x14:colorLast rgb="FFD00000"/>
          <x14:colorHigh rgb="FFD00000"/>
          <x14:colorLow rgb="FFD00000"/>
          <x14:sparklines>
            <x14:sparkline>
              <xm:f>'KPI5'!E15:P15</xm:f>
              <xm:sqref>H45</xm:sqref>
            </x14:sparkline>
          </x14:sparklines>
        </x14:sparklineGroup>
        <x14:sparklineGroup manualMax="0" manualMin="0" displayEmptyCellsAs="gap" markers="1" xr2:uid="{090B7350-D50D-4741-8385-5A21FDFB3723}">
          <x14:colorSeries theme="0" tint="-0.34998626667073579"/>
          <x14:colorNegative rgb="FFD00000"/>
          <x14:colorAxis rgb="FF000000"/>
          <x14:colorMarkers rgb="FF324B49"/>
          <x14:colorFirst rgb="FFD00000"/>
          <x14:colorLast rgb="FFD00000"/>
          <x14:colorHigh rgb="FFD00000"/>
          <x14:colorLow rgb="FFD00000"/>
          <x14:sparklines>
            <x14:sparkline>
              <xm:f>'KPI5'!E18:P18</xm:f>
              <xm:sqref>H46</xm:sqref>
            </x14:sparkline>
          </x14:sparklines>
        </x14:sparklineGroup>
        <x14:sparklineGroup manualMax="0" manualMin="0" displayEmptyCellsAs="gap" markers="1" xr2:uid="{924EDE42-7E11-4E12-96FB-0AFE9B7E18BF}">
          <x14:colorSeries theme="0" tint="-0.34998626667073579"/>
          <x14:colorNegative rgb="FFD00000"/>
          <x14:colorAxis rgb="FF000000"/>
          <x14:colorMarkers rgb="FF324B49"/>
          <x14:colorFirst rgb="FFD00000"/>
          <x14:colorLast rgb="FFD00000"/>
          <x14:colorHigh rgb="FFD00000"/>
          <x14:colorLow rgb="FFD00000"/>
          <x14:sparklines>
            <x14:sparkline>
              <xm:f>'KPI5'!E21:P21</xm:f>
              <xm:sqref>H47</xm:sqref>
            </x14:sparkline>
          </x14:sparklines>
        </x14:sparklineGroup>
        <x14:sparklineGroup manualMax="0" manualMin="0" displayEmptyCellsAs="gap" markers="1" xr2:uid="{2FC25CFC-9C74-4DC7-A5F1-D42AED750F2D}">
          <x14:colorSeries theme="0" tint="-0.34998626667073579"/>
          <x14:colorNegative rgb="FFD00000"/>
          <x14:colorAxis rgb="FF000000"/>
          <x14:colorMarkers rgb="FF324B49"/>
          <x14:colorFirst rgb="FFD00000"/>
          <x14:colorLast rgb="FFD00000"/>
          <x14:colorHigh rgb="FFD00000"/>
          <x14:colorLow rgb="FFD00000"/>
          <x14:sparklines>
            <x14:sparkline>
              <xm:f>'KPI5'!E24:P24</xm:f>
              <xm:sqref>H48</xm:sqref>
            </x14:sparkline>
          </x14:sparklines>
        </x14:sparklineGroup>
        <x14:sparklineGroup manualMax="0" manualMin="0" displayEmptyCellsAs="gap" markers="1" xr2:uid="{BC6A6EDB-3DF5-4AEF-9E0C-74AF82EAE548}">
          <x14:colorSeries theme="0" tint="-0.34998626667073579"/>
          <x14:colorNegative rgb="FFD00000"/>
          <x14:colorAxis rgb="FF000000"/>
          <x14:colorMarkers rgb="FF324B49"/>
          <x14:colorFirst rgb="FFD00000"/>
          <x14:colorLast rgb="FFD00000"/>
          <x14:colorHigh rgb="FFD00000"/>
          <x14:colorLow rgb="FFD00000"/>
          <x14:sparklines>
            <x14:sparkline>
              <xm:f>'KPI5'!E27:P27</xm:f>
              <xm:sqref>H49</xm:sqref>
            </x14:sparkline>
          </x14:sparklines>
        </x14:sparklineGroup>
        <x14:sparklineGroup manualMax="0" manualMin="0" displayEmptyCellsAs="gap" markers="1" xr2:uid="{8F85955C-1FFA-42A5-A724-D7A088C84CF5}">
          <x14:colorSeries theme="0" tint="-0.34998626667073579"/>
          <x14:colorNegative rgb="FFD00000"/>
          <x14:colorAxis rgb="FF000000"/>
          <x14:colorMarkers rgb="FF324B49"/>
          <x14:colorFirst rgb="FFD00000"/>
          <x14:colorLast rgb="FFD00000"/>
          <x14:colorHigh rgb="FFD00000"/>
          <x14:colorLow rgb="FFD00000"/>
          <x14:sparklines>
            <x14:sparkline>
              <xm:f>'KPI5'!E30:P30</xm:f>
              <xm:sqref>H50</xm:sqref>
            </x14:sparkline>
          </x14:sparklines>
        </x14:sparklineGroup>
        <x14:sparklineGroup manualMax="0" manualMin="0" displayEmptyCellsAs="gap" markers="1" xr2:uid="{E9E81829-D955-4A45-B143-794A37124B25}">
          <x14:colorSeries theme="0" tint="-0.34998626667073579"/>
          <x14:colorNegative rgb="FFD00000"/>
          <x14:colorAxis rgb="FF000000"/>
          <x14:colorMarkers rgb="FF324B49"/>
          <x14:colorFirst rgb="FFD00000"/>
          <x14:colorLast rgb="FFD00000"/>
          <x14:colorHigh rgb="FFD00000"/>
          <x14:colorLow rgb="FFD00000"/>
          <x14:sparklines>
            <x14:sparkline>
              <xm:f>'KPI5'!E33:P33</xm:f>
              <xm:sqref>H51</xm:sqref>
            </x14:sparkline>
          </x14:sparklines>
        </x14:sparklineGroup>
        <x14:sparklineGroup manualMax="0" manualMin="0" displayEmptyCellsAs="gap" markers="1" xr2:uid="{B694AD1B-6EF6-4058-960E-BDF7F0836C71}">
          <x14:colorSeries theme="0" tint="-0.34998626667073579"/>
          <x14:colorNegative rgb="FFD00000"/>
          <x14:colorAxis rgb="FF000000"/>
          <x14:colorMarkers rgb="FF324B49"/>
          <x14:colorFirst rgb="FFD00000"/>
          <x14:colorLast rgb="FFD00000"/>
          <x14:colorHigh rgb="FFD00000"/>
          <x14:colorLow rgb="FFD00000"/>
          <x14:sparklines>
            <x14:sparkline>
              <xm:f>'KPI5'!E36:P36</xm:f>
              <xm:sqref>H52</xm:sqref>
            </x14:sparkline>
          </x14:sparklines>
        </x14:sparklineGroup>
        <x14:sparklineGroup manualMax="0" manualMin="0" displayEmptyCellsAs="gap" markers="1" xr2:uid="{9FF407E8-0DED-4CD2-97A4-31057680020A}">
          <x14:colorSeries theme="0" tint="-0.34998626667073579"/>
          <x14:colorNegative rgb="FFD00000"/>
          <x14:colorAxis rgb="FF000000"/>
          <x14:colorMarkers rgb="FF324B49"/>
          <x14:colorFirst rgb="FFD00000"/>
          <x14:colorLast rgb="FFD00000"/>
          <x14:colorHigh rgb="FFD00000"/>
          <x14:colorLow rgb="FFD00000"/>
          <x14:sparklines>
            <x14:sparkline>
              <xm:f>'KPI5'!E39:P39</xm:f>
              <xm:sqref>H53</xm:sqref>
            </x14:sparkline>
          </x14:sparklines>
        </x14:sparklineGroup>
        <x14:sparklineGroup manualMax="0" manualMin="0" displayEmptyCellsAs="gap" markers="1" xr2:uid="{08BE7ABE-FDA9-4906-B90C-7C439105A464}">
          <x14:colorSeries theme="0" tint="-0.34998626667073579"/>
          <x14:colorNegative rgb="FFD00000"/>
          <x14:colorAxis rgb="FF000000"/>
          <x14:colorMarkers rgb="FF324B49"/>
          <x14:colorFirst rgb="FFD00000"/>
          <x14:colorLast rgb="FFD00000"/>
          <x14:colorHigh rgb="FFD00000"/>
          <x14:colorLow rgb="FFD00000"/>
          <x14:sparklines>
            <x14:sparkline>
              <xm:f>'KPI6'!E12:P12</xm:f>
              <xm:sqref>P44</xm:sqref>
            </x14:sparkline>
          </x14:sparklines>
        </x14:sparklineGroup>
        <x14:sparklineGroup manualMax="0" manualMin="0" displayEmptyCellsAs="gap" markers="1" xr2:uid="{EEB8599F-E296-4BB5-817D-B68F69EC029B}">
          <x14:colorSeries theme="0" tint="-0.34998626667073579"/>
          <x14:colorNegative rgb="FFD00000"/>
          <x14:colorAxis rgb="FF000000"/>
          <x14:colorMarkers rgb="FF324B49"/>
          <x14:colorFirst rgb="FFD00000"/>
          <x14:colorLast rgb="FFD00000"/>
          <x14:colorHigh rgb="FFD00000"/>
          <x14:colorLow rgb="FFD00000"/>
          <x14:sparklines>
            <x14:sparkline>
              <xm:f>'KPI6'!E15:P15</xm:f>
              <xm:sqref>P45</xm:sqref>
            </x14:sparkline>
          </x14:sparklines>
        </x14:sparklineGroup>
        <x14:sparklineGroup manualMax="0" manualMin="0" displayEmptyCellsAs="gap" markers="1" xr2:uid="{CA1D6F84-F07F-4897-9EFB-E156395C3877}">
          <x14:colorSeries theme="0" tint="-0.34998626667073579"/>
          <x14:colorNegative rgb="FFD00000"/>
          <x14:colorAxis rgb="FF000000"/>
          <x14:colorMarkers rgb="FF324B49"/>
          <x14:colorFirst rgb="FFD00000"/>
          <x14:colorLast rgb="FFD00000"/>
          <x14:colorHigh rgb="FFD00000"/>
          <x14:colorLow rgb="FFD00000"/>
          <x14:sparklines>
            <x14:sparkline>
              <xm:f>'KPI6'!E18:P18</xm:f>
              <xm:sqref>P46</xm:sqref>
            </x14:sparkline>
          </x14:sparklines>
        </x14:sparklineGroup>
        <x14:sparklineGroup manualMax="0" manualMin="0" displayEmptyCellsAs="gap" markers="1" xr2:uid="{9283474C-AC46-47E3-B00D-2CE151162693}">
          <x14:colorSeries theme="0" tint="-0.34998626667073579"/>
          <x14:colorNegative rgb="FFD00000"/>
          <x14:colorAxis rgb="FF000000"/>
          <x14:colorMarkers rgb="FF324B49"/>
          <x14:colorFirst rgb="FFD00000"/>
          <x14:colorLast rgb="FFD00000"/>
          <x14:colorHigh rgb="FFD00000"/>
          <x14:colorLow rgb="FFD00000"/>
          <x14:sparklines>
            <x14:sparkline>
              <xm:f>'KPI6'!E21:P21</xm:f>
              <xm:sqref>P47</xm:sqref>
            </x14:sparkline>
          </x14:sparklines>
        </x14:sparklineGroup>
        <x14:sparklineGroup manualMax="0" manualMin="0" displayEmptyCellsAs="gap" markers="1" xr2:uid="{17D972AE-DD7C-43FD-838D-38290226E0D4}">
          <x14:colorSeries theme="0" tint="-0.34998626667073579"/>
          <x14:colorNegative rgb="FFD00000"/>
          <x14:colorAxis rgb="FF000000"/>
          <x14:colorMarkers rgb="FF324B49"/>
          <x14:colorFirst rgb="FFD00000"/>
          <x14:colorLast rgb="FFD00000"/>
          <x14:colorHigh rgb="FFD00000"/>
          <x14:colorLow rgb="FFD00000"/>
          <x14:sparklines>
            <x14:sparkline>
              <xm:f>'KPI6'!E24:P24</xm:f>
              <xm:sqref>P48</xm:sqref>
            </x14:sparkline>
          </x14:sparklines>
        </x14:sparklineGroup>
        <x14:sparklineGroup manualMax="0" manualMin="0" displayEmptyCellsAs="gap" markers="1" xr2:uid="{6512A3C1-8AAA-483B-854E-7E58B450010E}">
          <x14:colorSeries theme="0" tint="-0.34998626667073579"/>
          <x14:colorNegative rgb="FFD00000"/>
          <x14:colorAxis rgb="FF000000"/>
          <x14:colorMarkers rgb="FF324B49"/>
          <x14:colorFirst rgb="FFD00000"/>
          <x14:colorLast rgb="FFD00000"/>
          <x14:colorHigh rgb="FFD00000"/>
          <x14:colorLow rgb="FFD00000"/>
          <x14:sparklines>
            <x14:sparkline>
              <xm:f>'KPI6'!E27:P27</xm:f>
              <xm:sqref>P49</xm:sqref>
            </x14:sparkline>
          </x14:sparklines>
        </x14:sparklineGroup>
        <x14:sparklineGroup manualMax="0" manualMin="0" displayEmptyCellsAs="gap" markers="1" xr2:uid="{7840FA0C-7514-43D9-9D4A-0AC2E4AE31A1}">
          <x14:colorSeries theme="0" tint="-0.34998626667073579"/>
          <x14:colorNegative rgb="FFD00000"/>
          <x14:colorAxis rgb="FF000000"/>
          <x14:colorMarkers rgb="FF324B49"/>
          <x14:colorFirst rgb="FFD00000"/>
          <x14:colorLast rgb="FFD00000"/>
          <x14:colorHigh rgb="FFD00000"/>
          <x14:colorLow rgb="FFD00000"/>
          <x14:sparklines>
            <x14:sparkline>
              <xm:f>'KPI6'!E30:P30</xm:f>
              <xm:sqref>P50</xm:sqref>
            </x14:sparkline>
          </x14:sparklines>
        </x14:sparklineGroup>
        <x14:sparklineGroup manualMax="0" manualMin="0" displayEmptyCellsAs="gap" markers="1" xr2:uid="{4217CB04-D53B-4808-8110-562A22B8C1BB}">
          <x14:colorSeries theme="0" tint="-0.34998626667073579"/>
          <x14:colorNegative rgb="FFD00000"/>
          <x14:colorAxis rgb="FF000000"/>
          <x14:colorMarkers rgb="FF324B49"/>
          <x14:colorFirst rgb="FFD00000"/>
          <x14:colorLast rgb="FFD00000"/>
          <x14:colorHigh rgb="FFD00000"/>
          <x14:colorLow rgb="FFD00000"/>
          <x14:sparklines>
            <x14:sparkline>
              <xm:f>'KPI6'!E33:P33</xm:f>
              <xm:sqref>P51</xm:sqref>
            </x14:sparkline>
          </x14:sparklines>
        </x14:sparklineGroup>
        <x14:sparklineGroup manualMax="0" manualMin="0" displayEmptyCellsAs="gap" markers="1" xr2:uid="{41ADBFEA-DB20-4C6B-9AB1-3D4B951DCF33}">
          <x14:colorSeries theme="0" tint="-0.34998626667073579"/>
          <x14:colorNegative rgb="FFD00000"/>
          <x14:colorAxis rgb="FF000000"/>
          <x14:colorMarkers rgb="FF324B49"/>
          <x14:colorFirst rgb="FFD00000"/>
          <x14:colorLast rgb="FFD00000"/>
          <x14:colorHigh rgb="FFD00000"/>
          <x14:colorLow rgb="FFD00000"/>
          <x14:sparklines>
            <x14:sparkline>
              <xm:f>'KPI6'!E36:P36</xm:f>
              <xm:sqref>P52</xm:sqref>
            </x14:sparkline>
          </x14:sparklines>
        </x14:sparklineGroup>
        <x14:sparklineGroup manualMax="0" manualMin="0" displayEmptyCellsAs="gap" markers="1" xr2:uid="{042303CA-0E0F-40A4-91EF-B2E57C8788D2}">
          <x14:colorSeries theme="0" tint="-0.34998626667073579"/>
          <x14:colorNegative rgb="FFD00000"/>
          <x14:colorAxis rgb="FF000000"/>
          <x14:colorMarkers rgb="FF324B49"/>
          <x14:colorFirst rgb="FFD00000"/>
          <x14:colorLast rgb="FFD00000"/>
          <x14:colorHigh rgb="FFD00000"/>
          <x14:colorLow rgb="FFD00000"/>
          <x14:sparklines>
            <x14:sparkline>
              <xm:f>'KPI6'!E39:P39</xm:f>
              <xm:sqref>P53</xm:sqref>
            </x14:sparkline>
          </x14:sparklines>
        </x14:sparklineGroup>
        <x14:sparklineGroup manualMax="0" manualMin="0" displayEmptyCellsAs="gap" markers="1" xr2:uid="{9767177D-09EC-4477-81DE-6543596D191E}">
          <x14:colorSeries theme="0" tint="-0.34998626667073579"/>
          <x14:colorNegative rgb="FFD00000"/>
          <x14:colorAxis rgb="FF000000"/>
          <x14:colorMarkers rgb="FF324B49"/>
          <x14:colorFirst rgb="FFD00000"/>
          <x14:colorLast rgb="FFD00000"/>
          <x14:colorHigh rgb="FFD00000"/>
          <x14:colorLow rgb="FFD00000"/>
          <x14:sparklines>
            <x14:sparkline>
              <xm:f>'KPI4'!E39:P39</xm:f>
              <xm:sqref>P37</xm:sqref>
            </x14:sparkline>
          </x14:sparklines>
        </x14:sparklineGroup>
        <x14:sparklineGroup manualMax="0" manualMin="0" displayEmptyCellsAs="gap" markers="1" xr2:uid="{7197E6D7-01DB-4ADB-AD07-A6F6501077FC}">
          <x14:colorSeries theme="0" tint="-0.34998626667073579"/>
          <x14:colorNegative rgb="FFD00000"/>
          <x14:colorAxis rgb="FF000000"/>
          <x14:colorMarkers rgb="FF324B49"/>
          <x14:colorFirst rgb="FFD00000"/>
          <x14:colorLast rgb="FFD00000"/>
          <x14:colorHigh rgb="FFD00000"/>
          <x14:colorLow rgb="FFD00000"/>
          <x14:sparklines>
            <x14:sparkline>
              <xm:f>'KPI4'!E36:P36</xm:f>
              <xm:sqref>P36</xm:sqref>
            </x14:sparkline>
          </x14:sparklines>
        </x14:sparklineGroup>
        <x14:sparklineGroup manualMax="0" manualMin="0" displayEmptyCellsAs="gap" markers="1" xr2:uid="{3B807DDD-2FFA-4CE4-A8B2-5DBA6D583313}">
          <x14:colorSeries theme="0" tint="-0.34998626667073579"/>
          <x14:colorNegative rgb="FFD00000"/>
          <x14:colorAxis rgb="FF000000"/>
          <x14:colorMarkers rgb="FF324B49"/>
          <x14:colorFirst rgb="FFD00000"/>
          <x14:colorLast rgb="FFD00000"/>
          <x14:colorHigh rgb="FFD00000"/>
          <x14:colorLow rgb="FFD00000"/>
          <x14:sparklines>
            <x14:sparkline>
              <xm:f>'KPI4'!E33:P33</xm:f>
              <xm:sqref>P35</xm:sqref>
            </x14:sparkline>
          </x14:sparklines>
        </x14:sparklineGroup>
        <x14:sparklineGroup manualMax="0" manualMin="0" displayEmptyCellsAs="gap" markers="1" xr2:uid="{EB0AA836-61A2-4659-92E0-905E291AB6B8}">
          <x14:colorSeries theme="0" tint="-0.34998626667073579"/>
          <x14:colorNegative rgb="FFD00000"/>
          <x14:colorAxis rgb="FF000000"/>
          <x14:colorMarkers rgb="FF324B49"/>
          <x14:colorFirst rgb="FFD00000"/>
          <x14:colorLast rgb="FFD00000"/>
          <x14:colorHigh rgb="FFD00000"/>
          <x14:colorLow rgb="FFD00000"/>
          <x14:sparklines>
            <x14:sparkline>
              <xm:f>'KPI4'!E30:P30</xm:f>
              <xm:sqref>P34</xm:sqref>
            </x14:sparkline>
          </x14:sparklines>
        </x14:sparklineGroup>
        <x14:sparklineGroup manualMax="0" manualMin="0" displayEmptyCellsAs="gap" markers="1" xr2:uid="{1BFE33D5-8214-4387-BCB1-ABA9F56B6BAC}">
          <x14:colorSeries theme="0" tint="-0.34998626667073579"/>
          <x14:colorNegative rgb="FFD00000"/>
          <x14:colorAxis rgb="FF000000"/>
          <x14:colorMarkers rgb="FF324B49"/>
          <x14:colorFirst rgb="FFD00000"/>
          <x14:colorLast rgb="FFD00000"/>
          <x14:colorHigh rgb="FFD00000"/>
          <x14:colorLow rgb="FFD00000"/>
          <x14:sparklines>
            <x14:sparkline>
              <xm:f>'KPI4'!E27:P27</xm:f>
              <xm:sqref>P33</xm:sqref>
            </x14:sparkline>
          </x14:sparklines>
        </x14:sparklineGroup>
        <x14:sparklineGroup manualMax="0" manualMin="0" displayEmptyCellsAs="gap" markers="1" xr2:uid="{3D18D50B-8C1E-4887-A6F3-3D70D00406CE}">
          <x14:colorSeries theme="0" tint="-0.34998626667073579"/>
          <x14:colorNegative rgb="FFD00000"/>
          <x14:colorAxis rgb="FF000000"/>
          <x14:colorMarkers rgb="FF324B49"/>
          <x14:colorFirst rgb="FFD00000"/>
          <x14:colorLast rgb="FFD00000"/>
          <x14:colorHigh rgb="FFD00000"/>
          <x14:colorLow rgb="FFD00000"/>
          <x14:sparklines>
            <x14:sparkline>
              <xm:f>'KPI4'!E24:P24</xm:f>
              <xm:sqref>P32</xm:sqref>
            </x14:sparkline>
          </x14:sparklines>
        </x14:sparklineGroup>
        <x14:sparklineGroup manualMax="0" manualMin="0" displayEmptyCellsAs="gap" markers="1" xr2:uid="{6731C247-41D1-4A69-B156-B961630F658D}">
          <x14:colorSeries theme="0" tint="-0.34998626667073579"/>
          <x14:colorNegative rgb="FFD00000"/>
          <x14:colorAxis rgb="FF000000"/>
          <x14:colorMarkers rgb="FF324B49"/>
          <x14:colorFirst rgb="FFD00000"/>
          <x14:colorLast rgb="FFD00000"/>
          <x14:colorHigh rgb="FFD00000"/>
          <x14:colorLow rgb="FFD00000"/>
          <x14:sparklines>
            <x14:sparkline>
              <xm:f>'KPI4'!E21:P21</xm:f>
              <xm:sqref>P31</xm:sqref>
            </x14:sparkline>
          </x14:sparklines>
        </x14:sparklineGroup>
        <x14:sparklineGroup manualMax="0" manualMin="0" displayEmptyCellsAs="gap" markers="1" xr2:uid="{5EFD898F-857F-4388-B935-2521D8007BAA}">
          <x14:colorSeries theme="0" tint="-0.34998626667073579"/>
          <x14:colorNegative rgb="FFD00000"/>
          <x14:colorAxis rgb="FF000000"/>
          <x14:colorMarkers rgb="FF324B49"/>
          <x14:colorFirst rgb="FFD00000"/>
          <x14:colorLast rgb="FFD00000"/>
          <x14:colorHigh rgb="FFD00000"/>
          <x14:colorLow rgb="FFD00000"/>
          <x14:sparklines>
            <x14:sparkline>
              <xm:f>'KPI4'!E18:P18</xm:f>
              <xm:sqref>P30</xm:sqref>
            </x14:sparkline>
          </x14:sparklines>
        </x14:sparklineGroup>
        <x14:sparklineGroup manualMax="0" manualMin="0" displayEmptyCellsAs="gap" markers="1" xr2:uid="{D34E8481-7DC0-49FB-80B8-CB25D1BFFF76}">
          <x14:colorSeries theme="0" tint="-0.34998626667073579"/>
          <x14:colorNegative rgb="FFD00000"/>
          <x14:colorAxis rgb="FF000000"/>
          <x14:colorMarkers rgb="FF324B49"/>
          <x14:colorFirst rgb="FFD00000"/>
          <x14:colorLast rgb="FFD00000"/>
          <x14:colorHigh rgb="FFD00000"/>
          <x14:colorLow rgb="FFD00000"/>
          <x14:sparklines>
            <x14:sparkline>
              <xm:f>'KPI4'!E15:P15</xm:f>
              <xm:sqref>P29</xm:sqref>
            </x14:sparkline>
          </x14:sparklines>
        </x14:sparklineGroup>
        <x14:sparklineGroup manualMax="0" manualMin="0" displayEmptyCellsAs="gap" markers="1" xr2:uid="{89575459-AC2A-4F41-9CAD-0B8D91ABFF7B}">
          <x14:colorSeries theme="0" tint="-0.34998626667073579"/>
          <x14:colorNegative rgb="FFD00000"/>
          <x14:colorAxis rgb="FF000000"/>
          <x14:colorMarkers rgb="FF324B49"/>
          <x14:colorFirst rgb="FFD00000"/>
          <x14:colorLast rgb="FFD00000"/>
          <x14:colorHigh rgb="FFD00000"/>
          <x14:colorLow rgb="FFD00000"/>
          <x14:sparklines>
            <x14:sparkline>
              <xm:f>'KPI4'!E12:P12</xm:f>
              <xm:sqref>P28</xm:sqref>
            </x14:sparkline>
          </x14:sparklines>
        </x14:sparklineGroup>
        <x14:sparklineGroup manualMax="0" manualMin="0" displayEmptyCellsAs="gap" markers="1" xr2:uid="{F97DBC89-2B6E-4621-984E-CB87D1FAF29E}">
          <x14:colorSeries theme="0" tint="-0.34998626667073579"/>
          <x14:colorNegative rgb="FFD00000"/>
          <x14:colorAxis rgb="FF000000"/>
          <x14:colorMarkers rgb="FF324B49"/>
          <x14:colorFirst rgb="FFD00000"/>
          <x14:colorLast rgb="FFD00000"/>
          <x14:colorHigh rgb="FFD00000"/>
          <x14:colorLow rgb="FFD00000"/>
          <x14:sparklines>
            <x14:sparkline>
              <xm:f>'KPI3'!E39:P39</xm:f>
              <xm:sqref>H37</xm:sqref>
            </x14:sparkline>
          </x14:sparklines>
        </x14:sparklineGroup>
        <x14:sparklineGroup manualMax="0" manualMin="0" displayEmptyCellsAs="gap" markers="1" xr2:uid="{7A72A042-CA8E-466E-B9AD-3990908A7BBF}">
          <x14:colorSeries theme="0" tint="-0.34998626667073579"/>
          <x14:colorNegative rgb="FFD00000"/>
          <x14:colorAxis rgb="FF000000"/>
          <x14:colorMarkers rgb="FF324B49"/>
          <x14:colorFirst rgb="FFD00000"/>
          <x14:colorLast rgb="FFD00000"/>
          <x14:colorHigh rgb="FFD00000"/>
          <x14:colorLow rgb="FFD00000"/>
          <x14:sparklines>
            <x14:sparkline>
              <xm:f>'KPI3'!E36:P36</xm:f>
              <xm:sqref>H36</xm:sqref>
            </x14:sparkline>
          </x14:sparklines>
        </x14:sparklineGroup>
        <x14:sparklineGroup manualMax="0" manualMin="0" displayEmptyCellsAs="gap" markers="1" xr2:uid="{CAA172E4-A39A-4DEB-B306-3B4412964F72}">
          <x14:colorSeries theme="0" tint="-0.34998626667073579"/>
          <x14:colorNegative rgb="FFD00000"/>
          <x14:colorAxis rgb="FF000000"/>
          <x14:colorMarkers rgb="FF324B49"/>
          <x14:colorFirst rgb="FFD00000"/>
          <x14:colorLast rgb="FFD00000"/>
          <x14:colorHigh rgb="FFD00000"/>
          <x14:colorLow rgb="FFD00000"/>
          <x14:sparklines>
            <x14:sparkline>
              <xm:f>'KPI3'!E33:P33</xm:f>
              <xm:sqref>H35</xm:sqref>
            </x14:sparkline>
          </x14:sparklines>
        </x14:sparklineGroup>
        <x14:sparklineGroup manualMax="0" manualMin="0" displayEmptyCellsAs="gap" markers="1" xr2:uid="{CEE9FE57-C77A-46A5-BCA6-9307C2A6E191}">
          <x14:colorSeries theme="0" tint="-0.34998626667073579"/>
          <x14:colorNegative rgb="FFD00000"/>
          <x14:colorAxis rgb="FF000000"/>
          <x14:colorMarkers rgb="FF324B49"/>
          <x14:colorFirst rgb="FFD00000"/>
          <x14:colorLast rgb="FFD00000"/>
          <x14:colorHigh rgb="FFD00000"/>
          <x14:colorLow rgb="FFD00000"/>
          <x14:sparklines>
            <x14:sparkline>
              <xm:f>'KPI3'!E30:P30</xm:f>
              <xm:sqref>H34</xm:sqref>
            </x14:sparkline>
          </x14:sparklines>
        </x14:sparklineGroup>
        <x14:sparklineGroup manualMax="0" manualMin="0" displayEmptyCellsAs="gap" markers="1" xr2:uid="{A733705B-B451-4B0B-952A-75820B8903F0}">
          <x14:colorSeries theme="0" tint="-0.34998626667073579"/>
          <x14:colorNegative rgb="FFD00000"/>
          <x14:colorAxis rgb="FF000000"/>
          <x14:colorMarkers rgb="FF324B49"/>
          <x14:colorFirst rgb="FFD00000"/>
          <x14:colorLast rgb="FFD00000"/>
          <x14:colorHigh rgb="FFD00000"/>
          <x14:colorLow rgb="FFD00000"/>
          <x14:sparklines>
            <x14:sparkline>
              <xm:f>'KPI3'!E27:P27</xm:f>
              <xm:sqref>H33</xm:sqref>
            </x14:sparkline>
          </x14:sparklines>
        </x14:sparklineGroup>
        <x14:sparklineGroup manualMax="0" manualMin="0" displayEmptyCellsAs="gap" markers="1" xr2:uid="{1E7D76C3-5B98-439F-9A28-99EF02325512}">
          <x14:colorSeries theme="0" tint="-0.34998626667073579"/>
          <x14:colorNegative rgb="FFD00000"/>
          <x14:colorAxis rgb="FF000000"/>
          <x14:colorMarkers rgb="FF324B49"/>
          <x14:colorFirst rgb="FFD00000"/>
          <x14:colorLast rgb="FFD00000"/>
          <x14:colorHigh rgb="FFD00000"/>
          <x14:colorLow rgb="FFD00000"/>
          <x14:sparklines>
            <x14:sparkline>
              <xm:f>'KPI3'!E24:P24</xm:f>
              <xm:sqref>H32</xm:sqref>
            </x14:sparkline>
          </x14:sparklines>
        </x14:sparklineGroup>
        <x14:sparklineGroup manualMax="0" manualMin="0" displayEmptyCellsAs="gap" markers="1" xr2:uid="{925D44A4-D7D0-4B18-8C71-3AE8745482A6}">
          <x14:colorSeries theme="0" tint="-0.34998626667073579"/>
          <x14:colorNegative rgb="FFD00000"/>
          <x14:colorAxis rgb="FF000000"/>
          <x14:colorMarkers rgb="FF324B49"/>
          <x14:colorFirst rgb="FFD00000"/>
          <x14:colorLast rgb="FFD00000"/>
          <x14:colorHigh rgb="FFD00000"/>
          <x14:colorLow rgb="FFD00000"/>
          <x14:sparklines>
            <x14:sparkline>
              <xm:f>'KPI3'!E21:P21</xm:f>
              <xm:sqref>H31</xm:sqref>
            </x14:sparkline>
          </x14:sparklines>
        </x14:sparklineGroup>
        <x14:sparklineGroup manualMax="0" manualMin="0" displayEmptyCellsAs="gap" markers="1" xr2:uid="{D2F6546A-AE0B-4C83-AA11-8F5A94E75454}">
          <x14:colorSeries theme="0" tint="-0.34998626667073579"/>
          <x14:colorNegative rgb="FFD00000"/>
          <x14:colorAxis rgb="FF000000"/>
          <x14:colorMarkers rgb="FF324B49"/>
          <x14:colorFirst rgb="FFD00000"/>
          <x14:colorLast rgb="FFD00000"/>
          <x14:colorHigh rgb="FFD00000"/>
          <x14:colorLow rgb="FFD00000"/>
          <x14:sparklines>
            <x14:sparkline>
              <xm:f>'KPI3'!E18:P18</xm:f>
              <xm:sqref>H30</xm:sqref>
            </x14:sparkline>
          </x14:sparklines>
        </x14:sparklineGroup>
        <x14:sparklineGroup manualMax="0" manualMin="0" displayEmptyCellsAs="gap" markers="1" xr2:uid="{1AC1066C-4F55-45EE-9648-ED148B5108BB}">
          <x14:colorSeries theme="0" tint="-0.34998626667073579"/>
          <x14:colorNegative rgb="FFD00000"/>
          <x14:colorAxis rgb="FF000000"/>
          <x14:colorMarkers rgb="FF324B49"/>
          <x14:colorFirst rgb="FFD00000"/>
          <x14:colorLast rgb="FFD00000"/>
          <x14:colorHigh rgb="FFD00000"/>
          <x14:colorLow rgb="FFD00000"/>
          <x14:sparklines>
            <x14:sparkline>
              <xm:f>'KPI3'!E15:P15</xm:f>
              <xm:sqref>H29</xm:sqref>
            </x14:sparkline>
          </x14:sparklines>
        </x14:sparklineGroup>
        <x14:sparklineGroup manualMax="0" manualMin="0" displayEmptyCellsAs="gap" markers="1" xr2:uid="{DC1A29FD-C185-4CEB-BB80-9B0C29381B5F}">
          <x14:colorSeries theme="0" tint="-0.34998626667073579"/>
          <x14:colorNegative rgb="FFD00000"/>
          <x14:colorAxis rgb="FF000000"/>
          <x14:colorMarkers rgb="FF324B49"/>
          <x14:colorFirst rgb="FFD00000"/>
          <x14:colorLast rgb="FFD00000"/>
          <x14:colorHigh rgb="FFD00000"/>
          <x14:colorLow rgb="FFD00000"/>
          <x14:sparklines>
            <x14:sparkline>
              <xm:f>'KPI3'!E12:P12</xm:f>
              <xm:sqref>H28</xm:sqref>
            </x14:sparkline>
          </x14:sparklines>
        </x14:sparklineGroup>
        <x14:sparklineGroup manualMax="0" manualMin="0" displayEmptyCellsAs="gap" markers="1" xr2:uid="{A90746B7-9719-4FDB-ACF0-BF4BA1ED5C89}">
          <x14:colorSeries theme="0" tint="-0.34998626667073579"/>
          <x14:colorNegative rgb="FFD00000"/>
          <x14:colorAxis rgb="FF000000"/>
          <x14:colorMarkers rgb="FF324B49"/>
          <x14:colorFirst rgb="FFD00000"/>
          <x14:colorLast rgb="FFD00000"/>
          <x14:colorHigh rgb="FFD00000"/>
          <x14:colorLow rgb="FFD00000"/>
          <x14:sparklines>
            <x14:sparkline>
              <xm:f>'KPI1'!E12:P12</xm:f>
              <xm:sqref>H13</xm:sqref>
            </x14:sparkline>
          </x14:sparklines>
        </x14:sparklineGroup>
        <x14:sparklineGroup manualMax="0" manualMin="0" displayEmptyCellsAs="gap" markers="1" xr2:uid="{B37D850F-6837-4185-BD7A-0B8448C471DD}">
          <x14:colorSeries theme="0" tint="-0.34998626667073579"/>
          <x14:colorNegative rgb="FFD00000"/>
          <x14:colorAxis rgb="FF000000"/>
          <x14:colorMarkers rgb="FF324B49"/>
          <x14:colorFirst rgb="FFD00000"/>
          <x14:colorLast rgb="FFD00000"/>
          <x14:colorHigh rgb="FFD00000"/>
          <x14:colorLow rgb="FFD00000"/>
          <x14:sparklines>
            <x14:sparkline>
              <xm:f>'KPI1'!E15:P15</xm:f>
              <xm:sqref>H14</xm:sqref>
            </x14:sparkline>
          </x14:sparklines>
        </x14:sparklineGroup>
        <x14:sparklineGroup manualMax="0" manualMin="0" displayEmptyCellsAs="gap" markers="1" xr2:uid="{A84738D9-39BC-47E2-BC70-1968D45F8CB5}">
          <x14:colorSeries theme="0" tint="-0.34998626667073579"/>
          <x14:colorNegative rgb="FFD00000"/>
          <x14:colorAxis rgb="FF000000"/>
          <x14:colorMarkers rgb="FF324B49"/>
          <x14:colorFirst rgb="FFD00000"/>
          <x14:colorLast rgb="FFD00000"/>
          <x14:colorHigh rgb="FFD00000"/>
          <x14:colorLow rgb="FFD00000"/>
          <x14:sparklines>
            <x14:sparkline>
              <xm:f>'KPI1'!E39:P39</xm:f>
              <xm:sqref>H22</xm:sqref>
            </x14:sparkline>
          </x14:sparklines>
        </x14:sparklineGroup>
        <x14:sparklineGroup manualMax="0" manualMin="0" displayEmptyCellsAs="gap" markers="1" xr2:uid="{D37265C9-7F06-4D3D-B5E8-DF321CC397CE}">
          <x14:colorSeries theme="0" tint="-0.34998626667073579"/>
          <x14:colorNegative rgb="FFD00000"/>
          <x14:colorAxis rgb="FF000000"/>
          <x14:colorMarkers rgb="FF324B49"/>
          <x14:colorFirst rgb="FFD00000"/>
          <x14:colorLast rgb="FFD00000"/>
          <x14:colorHigh rgb="FFD00000"/>
          <x14:colorLow rgb="FFD00000"/>
          <x14:sparklines>
            <x14:sparkline>
              <xm:f>'KPI1'!E18:P18</xm:f>
              <xm:sqref>H15</xm:sqref>
            </x14:sparkline>
          </x14:sparklines>
        </x14:sparklineGroup>
        <x14:sparklineGroup manualMax="0" manualMin="0" displayEmptyCellsAs="gap" markers="1" xr2:uid="{1BE3F08A-9462-41FB-8BD0-4299B1C82B8A}">
          <x14:colorSeries theme="0" tint="-0.34998626667073579"/>
          <x14:colorNegative rgb="FFD00000"/>
          <x14:colorAxis rgb="FF000000"/>
          <x14:colorMarkers rgb="FF324B49"/>
          <x14:colorFirst rgb="FFD00000"/>
          <x14:colorLast rgb="FFD00000"/>
          <x14:colorHigh rgb="FFD00000"/>
          <x14:colorLow rgb="FFD00000"/>
          <x14:sparklines>
            <x14:sparkline>
              <xm:f>'KPI1'!E21:P21</xm:f>
              <xm:sqref>H16</xm:sqref>
            </x14:sparkline>
          </x14:sparklines>
        </x14:sparklineGroup>
        <x14:sparklineGroup manualMax="0" manualMin="0" displayEmptyCellsAs="gap" markers="1" xr2:uid="{5A8C6854-B9DE-4922-B577-4E2C0EEA8EBE}">
          <x14:colorSeries theme="0" tint="-0.34998626667073579"/>
          <x14:colorNegative rgb="FFD00000"/>
          <x14:colorAxis rgb="FF000000"/>
          <x14:colorMarkers rgb="FF324B49"/>
          <x14:colorFirst rgb="FFD00000"/>
          <x14:colorLast rgb="FFD00000"/>
          <x14:colorHigh rgb="FFD00000"/>
          <x14:colorLow rgb="FFD00000"/>
          <x14:sparklines>
            <x14:sparkline>
              <xm:f>'KPI1'!E24:P24</xm:f>
              <xm:sqref>H17</xm:sqref>
            </x14:sparkline>
          </x14:sparklines>
        </x14:sparklineGroup>
        <x14:sparklineGroup manualMax="0" manualMin="0" displayEmptyCellsAs="gap" markers="1" xr2:uid="{2411A640-06EA-4B57-9F30-384E56B149A5}">
          <x14:colorSeries theme="0" tint="-0.34998626667073579"/>
          <x14:colorNegative rgb="FFD00000"/>
          <x14:colorAxis rgb="FF000000"/>
          <x14:colorMarkers rgb="FF324B49"/>
          <x14:colorFirst rgb="FFD00000"/>
          <x14:colorLast rgb="FFD00000"/>
          <x14:colorHigh rgb="FFD00000"/>
          <x14:colorLow rgb="FFD00000"/>
          <x14:sparklines>
            <x14:sparkline>
              <xm:f>'KPI1'!E27:P27</xm:f>
              <xm:sqref>H18</xm:sqref>
            </x14:sparkline>
          </x14:sparklines>
        </x14:sparklineGroup>
        <x14:sparklineGroup manualMax="0" manualMin="0" displayEmptyCellsAs="gap" markers="1" xr2:uid="{F3F809A6-36E8-4F58-97CA-144BF5462287}">
          <x14:colorSeries theme="0" tint="-0.34998626667073579"/>
          <x14:colorNegative rgb="FFD00000"/>
          <x14:colorAxis rgb="FF000000"/>
          <x14:colorMarkers rgb="FF324B49"/>
          <x14:colorFirst rgb="FFD00000"/>
          <x14:colorLast rgb="FFD00000"/>
          <x14:colorHigh rgb="FFD00000"/>
          <x14:colorLow rgb="FFD00000"/>
          <x14:sparklines>
            <x14:sparkline>
              <xm:f>'KPI1'!E30:P30</xm:f>
              <xm:sqref>H19</xm:sqref>
            </x14:sparkline>
          </x14:sparklines>
        </x14:sparklineGroup>
        <x14:sparklineGroup manualMax="0" manualMin="0" displayEmptyCellsAs="gap" markers="1" xr2:uid="{1DE0FA12-D397-4FE6-8B19-402FBF27DAB1}">
          <x14:colorSeries theme="0" tint="-0.34998626667073579"/>
          <x14:colorNegative rgb="FFD00000"/>
          <x14:colorAxis rgb="FF000000"/>
          <x14:colorMarkers rgb="FF324B49"/>
          <x14:colorFirst rgb="FFD00000"/>
          <x14:colorLast rgb="FFD00000"/>
          <x14:colorHigh rgb="FFD00000"/>
          <x14:colorLow rgb="FFD00000"/>
          <x14:sparklines>
            <x14:sparkline>
              <xm:f>'KPI1'!E33:P33</xm:f>
              <xm:sqref>H20</xm:sqref>
            </x14:sparkline>
          </x14:sparklines>
        </x14:sparklineGroup>
        <x14:sparklineGroup manualMax="0" manualMin="0" displayEmptyCellsAs="gap" markers="1" xr2:uid="{550BDE95-6FEC-409F-9DAC-E617C7DB3146}">
          <x14:colorSeries theme="0" tint="-0.34998626667073579"/>
          <x14:colorNegative rgb="FFD00000"/>
          <x14:colorAxis rgb="FF000000"/>
          <x14:colorMarkers rgb="FF324B49"/>
          <x14:colorFirst rgb="FFD00000"/>
          <x14:colorLast rgb="FFD00000"/>
          <x14:colorHigh rgb="FFD00000"/>
          <x14:colorLow rgb="FFD00000"/>
          <x14:sparklines>
            <x14:sparkline>
              <xm:f>'KPI1'!E36:P36</xm:f>
              <xm:sqref>H21</xm:sqref>
            </x14:sparkline>
          </x14:sparklines>
        </x14:sparklineGroup>
        <x14:sparklineGroup manualMax="0" manualMin="0" displayEmptyCellsAs="gap" markers="1" xr2:uid="{1CB23737-C834-4FA3-9E4D-F1BED317BAD6}">
          <x14:colorSeries theme="0" tint="-0.34998626667073579"/>
          <x14:colorNegative rgb="FFD00000"/>
          <x14:colorAxis rgb="FF000000"/>
          <x14:colorMarkers rgb="FF324B49"/>
          <x14:colorFirst rgb="FFD00000"/>
          <x14:colorLast rgb="FFD00000"/>
          <x14:colorHigh rgb="FFD00000"/>
          <x14:colorLow rgb="FFD00000"/>
          <x14:sparklines>
            <x14:sparkline>
              <xm:f>'KPI2'!E12:P12</xm:f>
              <xm:sqref>P13</xm:sqref>
            </x14:sparkline>
          </x14:sparklines>
        </x14:sparklineGroup>
        <x14:sparklineGroup manualMax="0" manualMin="0" displayEmptyCellsAs="gap" markers="1" xr2:uid="{D86CACE7-EA70-4A0A-AEA4-87C44D211128}">
          <x14:colorSeries theme="0" tint="-0.34998626667073579"/>
          <x14:colorNegative rgb="FFD00000"/>
          <x14:colorAxis rgb="FF000000"/>
          <x14:colorMarkers rgb="FF324B49"/>
          <x14:colorFirst rgb="FFD00000"/>
          <x14:colorLast rgb="FFD00000"/>
          <x14:colorHigh rgb="FFD00000"/>
          <x14:colorLow rgb="FFD00000"/>
          <x14:sparklines>
            <x14:sparkline>
              <xm:f>'KPI2'!E15:P15</xm:f>
              <xm:sqref>P14</xm:sqref>
            </x14:sparkline>
          </x14:sparklines>
        </x14:sparklineGroup>
        <x14:sparklineGroup manualMax="0" manualMin="0" displayEmptyCellsAs="gap" markers="1" xr2:uid="{E204604A-A6CA-45E4-BB76-DCD8EF30A49B}">
          <x14:colorSeries theme="0" tint="-0.34998626667073579"/>
          <x14:colorNegative rgb="FFD00000"/>
          <x14:colorAxis rgb="FF000000"/>
          <x14:colorMarkers rgb="FF324B49"/>
          <x14:colorFirst rgb="FFD00000"/>
          <x14:colorLast rgb="FFD00000"/>
          <x14:colorHigh rgb="FFD00000"/>
          <x14:colorLow rgb="FFD00000"/>
          <x14:sparklines>
            <x14:sparkline>
              <xm:f>'KPI2'!E18:P18</xm:f>
              <xm:sqref>P15</xm:sqref>
            </x14:sparkline>
          </x14:sparklines>
        </x14:sparklineGroup>
        <x14:sparklineGroup manualMax="0" manualMin="0" displayEmptyCellsAs="gap" markers="1" xr2:uid="{5E81AD95-72B7-4E9F-BDD5-114B7E9AB239}">
          <x14:colorSeries theme="0" tint="-0.34998626667073579"/>
          <x14:colorNegative rgb="FFD00000"/>
          <x14:colorAxis rgb="FF000000"/>
          <x14:colorMarkers rgb="FF324B49"/>
          <x14:colorFirst rgb="FFD00000"/>
          <x14:colorLast rgb="FFD00000"/>
          <x14:colorHigh rgb="FFD00000"/>
          <x14:colorLow rgb="FFD00000"/>
          <x14:sparklines>
            <x14:sparkline>
              <xm:f>'KPI2'!E21:P21</xm:f>
              <xm:sqref>P16</xm:sqref>
            </x14:sparkline>
          </x14:sparklines>
        </x14:sparklineGroup>
        <x14:sparklineGroup manualMax="0" manualMin="0" displayEmptyCellsAs="gap" markers="1" xr2:uid="{5D00E92E-D494-466C-9EF4-B040DD03E77D}">
          <x14:colorSeries theme="0" tint="-0.34998626667073579"/>
          <x14:colorNegative rgb="FFD00000"/>
          <x14:colorAxis rgb="FF000000"/>
          <x14:colorMarkers rgb="FF324B49"/>
          <x14:colorFirst rgb="FFD00000"/>
          <x14:colorLast rgb="FFD00000"/>
          <x14:colorHigh rgb="FFD00000"/>
          <x14:colorLow rgb="FFD00000"/>
          <x14:sparklines>
            <x14:sparkline>
              <xm:f>'KPI2'!E24:P24</xm:f>
              <xm:sqref>P17</xm:sqref>
            </x14:sparkline>
          </x14:sparklines>
        </x14:sparklineGroup>
        <x14:sparklineGroup manualMax="0" manualMin="0" displayEmptyCellsAs="gap" markers="1" xr2:uid="{588C8A9D-FC24-4E91-8EC9-9AE9806A1E5D}">
          <x14:colorSeries theme="0" tint="-0.34998626667073579"/>
          <x14:colorNegative rgb="FFD00000"/>
          <x14:colorAxis rgb="FF000000"/>
          <x14:colorMarkers rgb="FF324B49"/>
          <x14:colorFirst rgb="FFD00000"/>
          <x14:colorLast rgb="FFD00000"/>
          <x14:colorHigh rgb="FFD00000"/>
          <x14:colorLow rgb="FFD00000"/>
          <x14:sparklines>
            <x14:sparkline>
              <xm:f>'KPI2'!E27:P27</xm:f>
              <xm:sqref>P18</xm:sqref>
            </x14:sparkline>
          </x14:sparklines>
        </x14:sparklineGroup>
        <x14:sparklineGroup manualMax="0" manualMin="0" displayEmptyCellsAs="gap" markers="1" xr2:uid="{74644D49-E9B3-4E2B-BB08-3556F95D6AF1}">
          <x14:colorSeries theme="0" tint="-0.34998626667073579"/>
          <x14:colorNegative rgb="FFD00000"/>
          <x14:colorAxis rgb="FF000000"/>
          <x14:colorMarkers rgb="FF324B49"/>
          <x14:colorFirst rgb="FFD00000"/>
          <x14:colorLast rgb="FFD00000"/>
          <x14:colorHigh rgb="FFD00000"/>
          <x14:colorLow rgb="FFD00000"/>
          <x14:sparklines>
            <x14:sparkline>
              <xm:f>'KPI2'!E30:P30</xm:f>
              <xm:sqref>P19</xm:sqref>
            </x14:sparkline>
          </x14:sparklines>
        </x14:sparklineGroup>
        <x14:sparklineGroup manualMax="0" manualMin="0" displayEmptyCellsAs="gap" markers="1" xr2:uid="{B7FFFF4D-B77E-4146-9EFE-CE809B727F58}">
          <x14:colorSeries theme="0" tint="-0.34998626667073579"/>
          <x14:colorNegative rgb="FFD00000"/>
          <x14:colorAxis rgb="FF000000"/>
          <x14:colorMarkers rgb="FF324B49"/>
          <x14:colorFirst rgb="FFD00000"/>
          <x14:colorLast rgb="FFD00000"/>
          <x14:colorHigh rgb="FFD00000"/>
          <x14:colorLow rgb="FFD00000"/>
          <x14:sparklines>
            <x14:sparkline>
              <xm:f>'KPI2'!E33:P33</xm:f>
              <xm:sqref>P20</xm:sqref>
            </x14:sparkline>
          </x14:sparklines>
        </x14:sparklineGroup>
        <x14:sparklineGroup manualMax="0" manualMin="0" displayEmptyCellsAs="gap" markers="1" xr2:uid="{52B4A9BB-E988-4D02-B564-427BE38A2210}">
          <x14:colorSeries theme="0" tint="-0.34998626667073579"/>
          <x14:colorNegative rgb="FFD00000"/>
          <x14:colorAxis rgb="FF000000"/>
          <x14:colorMarkers rgb="FF324B49"/>
          <x14:colorFirst rgb="FFD00000"/>
          <x14:colorLast rgb="FFD00000"/>
          <x14:colorHigh rgb="FFD00000"/>
          <x14:colorLow rgb="FFD00000"/>
          <x14:sparklines>
            <x14:sparkline>
              <xm:f>'KPI2'!E36:P36</xm:f>
              <xm:sqref>P21</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9441A-7F7E-4B32-884B-52AAE2543F35}">
  <dimension ref="A1:AN96"/>
  <sheetViews>
    <sheetView showGridLines="0" showRowColHeaders="0" zoomScaleNormal="100" workbookViewId="0"/>
  </sheetViews>
  <sheetFormatPr baseColWidth="10" defaultColWidth="11.5" defaultRowHeight="15"/>
  <cols>
    <col min="1" max="1" width="2.6640625" style="93" customWidth="1"/>
    <col min="2" max="2" width="42.6640625" style="242" customWidth="1"/>
    <col min="3" max="6" width="10.6640625" style="151" customWidth="1"/>
    <col min="7" max="7" width="0.33203125" style="151" customWidth="1"/>
    <col min="8" max="8" width="10.6640625" style="151" customWidth="1"/>
    <col min="9" max="9" width="0.33203125" style="151" customWidth="1"/>
    <col min="10" max="10" width="5.33203125" style="93" customWidth="1"/>
    <col min="11" max="11" width="4.33203125" style="93" customWidth="1"/>
    <col min="12" max="12" width="3.6640625" style="390" customWidth="1"/>
    <col min="13" max="13" width="42.6640625" style="242" customWidth="1"/>
    <col min="14" max="15" width="10.6640625" style="151" customWidth="1"/>
    <col min="16" max="16" width="10.6640625" style="93" customWidth="1"/>
    <col min="17" max="17" width="10.6640625" style="151" customWidth="1"/>
    <col min="18" max="18" width="0.33203125" style="151" customWidth="1"/>
    <col min="19" max="19" width="10.6640625" style="151" customWidth="1"/>
    <col min="20" max="20" width="0.33203125" style="151" customWidth="1"/>
    <col min="21" max="21" width="5.33203125" style="151" customWidth="1"/>
    <col min="22" max="22" width="4.33203125" style="151" customWidth="1"/>
    <col min="23" max="23" width="2.1640625" style="390" customWidth="1"/>
    <col min="24" max="24" width="2" style="93" bestFit="1" customWidth="1"/>
    <col min="25" max="16384" width="11.5" style="151"/>
  </cols>
  <sheetData>
    <row r="1" spans="1:40" s="268" customFormat="1" ht="39" customHeight="1">
      <c r="A1" s="266"/>
      <c r="B1" s="267"/>
      <c r="C1" s="266"/>
      <c r="D1" s="266"/>
      <c r="E1" s="266"/>
      <c r="F1" s="266"/>
      <c r="G1" s="266"/>
      <c r="H1" s="266"/>
      <c r="I1" s="266"/>
      <c r="J1" s="266"/>
      <c r="K1" s="266"/>
      <c r="L1" s="266"/>
      <c r="M1" s="267"/>
      <c r="N1" s="266"/>
      <c r="O1" s="266"/>
      <c r="P1" s="266"/>
      <c r="Q1" s="266"/>
      <c r="R1" s="266"/>
      <c r="S1" s="266"/>
    </row>
    <row r="2" spans="1:40" s="269" customFormat="1" ht="25" customHeight="1">
      <c r="A2" s="312"/>
      <c r="B2" s="270"/>
      <c r="J2" s="312"/>
      <c r="K2" s="312"/>
      <c r="L2" s="388"/>
      <c r="M2" s="270"/>
      <c r="P2" s="312"/>
      <c r="W2" s="388"/>
      <c r="X2" s="312"/>
    </row>
    <row r="3" spans="1:40" s="251" customFormat="1" ht="18" customHeight="1">
      <c r="A3" s="287"/>
      <c r="B3" s="265"/>
      <c r="J3" s="287"/>
      <c r="K3" s="287"/>
      <c r="L3" s="384"/>
      <c r="M3" s="265"/>
      <c r="P3" s="287"/>
      <c r="W3" s="384"/>
      <c r="X3" s="287"/>
    </row>
    <row r="4" spans="1:40" s="251" customFormat="1" ht="18" customHeight="1">
      <c r="A4" s="287"/>
      <c r="B4" s="265"/>
      <c r="J4" s="287"/>
      <c r="K4" s="287"/>
      <c r="L4" s="384"/>
      <c r="M4" s="265"/>
      <c r="P4" s="287"/>
      <c r="W4" s="384"/>
      <c r="X4" s="287"/>
    </row>
    <row r="5" spans="1:40" s="251" customFormat="1" ht="20" customHeight="1">
      <c r="A5" s="287"/>
      <c r="B5" s="265"/>
      <c r="J5" s="287"/>
      <c r="K5" s="287"/>
      <c r="L5" s="384"/>
      <c r="M5" s="265"/>
      <c r="P5" s="287"/>
      <c r="W5" s="384"/>
      <c r="X5" s="287"/>
    </row>
    <row r="6" spans="1:40" ht="20" customHeight="1">
      <c r="A6" s="106"/>
      <c r="B6" s="226"/>
      <c r="C6" s="104"/>
      <c r="D6" s="104"/>
      <c r="E6" s="104"/>
      <c r="F6" s="104"/>
      <c r="G6" s="104"/>
      <c r="H6" s="104"/>
      <c r="I6" s="104"/>
      <c r="J6" s="106"/>
      <c r="K6" s="106"/>
      <c r="L6" s="108"/>
      <c r="M6" s="226"/>
      <c r="N6" s="104"/>
      <c r="O6" s="104"/>
      <c r="P6" s="106"/>
      <c r="Q6" s="104"/>
      <c r="R6" s="104"/>
      <c r="S6" s="104"/>
      <c r="T6" s="104"/>
      <c r="U6" s="104"/>
      <c r="V6" s="104"/>
      <c r="W6" s="108"/>
      <c r="X6" s="106"/>
      <c r="Y6" s="104"/>
      <c r="Z6" s="104"/>
      <c r="AA6" s="104"/>
      <c r="AB6" s="104"/>
      <c r="AC6" s="104"/>
      <c r="AD6" s="104"/>
      <c r="AE6" s="104"/>
      <c r="AF6" s="104"/>
      <c r="AG6" s="104"/>
      <c r="AH6" s="104"/>
      <c r="AI6" s="104"/>
      <c r="AJ6" s="104"/>
      <c r="AK6" s="104"/>
      <c r="AL6" s="104"/>
      <c r="AM6" s="104"/>
      <c r="AN6" s="104"/>
    </row>
    <row r="7" spans="1:40" ht="20" customHeight="1">
      <c r="A7" s="106"/>
      <c r="B7" s="236" t="str">
        <f>Lan!$F$85</f>
        <v>3.2. Informe Plan de Acción</v>
      </c>
      <c r="C7" s="105"/>
      <c r="D7" s="105"/>
      <c r="E7" s="105"/>
      <c r="F7" s="104"/>
      <c r="G7" s="104"/>
      <c r="H7" s="104"/>
      <c r="I7" s="104"/>
      <c r="J7" s="105"/>
      <c r="K7" s="105"/>
      <c r="L7" s="104"/>
      <c r="M7" s="231"/>
      <c r="N7" s="104"/>
      <c r="O7" s="104"/>
      <c r="P7" s="106"/>
      <c r="Q7" s="118"/>
      <c r="R7" s="104"/>
      <c r="S7" s="118"/>
      <c r="T7" s="104"/>
      <c r="U7" s="118"/>
      <c r="V7" s="118"/>
      <c r="W7" s="108"/>
      <c r="X7" s="106"/>
      <c r="Y7" s="137"/>
      <c r="Z7" s="137"/>
      <c r="AA7" s="137"/>
      <c r="AB7" s="104"/>
      <c r="AC7" s="104"/>
      <c r="AD7" s="104"/>
      <c r="AE7" s="104"/>
      <c r="AF7" s="104"/>
      <c r="AG7" s="104"/>
      <c r="AH7" s="104"/>
      <c r="AI7" s="104"/>
      <c r="AJ7" s="104"/>
      <c r="AK7" s="104"/>
      <c r="AL7" s="104"/>
      <c r="AM7" s="104"/>
      <c r="AN7" s="104"/>
    </row>
    <row r="8" spans="1:40" ht="20" customHeight="1">
      <c r="A8" s="106"/>
      <c r="B8" s="226"/>
      <c r="C8" s="104"/>
      <c r="D8" s="104"/>
      <c r="E8" s="104"/>
      <c r="F8" s="104"/>
      <c r="G8" s="104"/>
      <c r="H8" s="104"/>
      <c r="I8" s="104"/>
      <c r="J8" s="107"/>
      <c r="K8" s="107"/>
      <c r="L8" s="108"/>
      <c r="M8" s="226"/>
      <c r="N8" s="104"/>
      <c r="O8" s="104"/>
      <c r="P8" s="106"/>
      <c r="Q8" s="106"/>
      <c r="R8" s="104"/>
      <c r="S8" s="106"/>
      <c r="T8" s="104"/>
      <c r="U8" s="106"/>
      <c r="V8" s="106"/>
      <c r="W8" s="108"/>
      <c r="X8" s="106"/>
      <c r="Y8" s="391">
        <f>Settings!E28</f>
        <v>1</v>
      </c>
      <c r="Z8" s="137"/>
      <c r="AA8" s="137"/>
      <c r="AB8" s="104"/>
      <c r="AC8" s="104"/>
      <c r="AD8" s="104"/>
      <c r="AE8" s="104"/>
      <c r="AF8" s="104"/>
      <c r="AG8" s="104"/>
      <c r="AH8" s="104"/>
      <c r="AI8" s="104"/>
      <c r="AJ8" s="104"/>
      <c r="AK8" s="104"/>
      <c r="AL8" s="104"/>
      <c r="AM8" s="104"/>
      <c r="AN8" s="104"/>
    </row>
    <row r="9" spans="1:40" ht="20" customHeight="1">
      <c r="A9" s="106"/>
      <c r="B9" s="521" t="str">
        <f>IF(Goals!C12="","",Goals!C12)</f>
        <v>Expandir la presencia nacional de Caracolitos mediante la apertura de nuevas sucursales.</v>
      </c>
      <c r="C9" s="521"/>
      <c r="D9" s="521"/>
      <c r="E9" s="104"/>
      <c r="F9" s="104"/>
      <c r="G9" s="104"/>
      <c r="H9" s="104"/>
      <c r="I9" s="104"/>
      <c r="J9" s="109"/>
      <c r="K9" s="109"/>
      <c r="L9" s="108"/>
      <c r="M9" s="521" t="str">
        <f>IF(Goals!C13="","",Goals!C13)</f>
        <v>Mejorar la productividad de los procesos operativos en planta.</v>
      </c>
      <c r="N9" s="521"/>
      <c r="O9" s="521"/>
      <c r="P9" s="104"/>
      <c r="Q9" s="104"/>
      <c r="R9" s="104"/>
      <c r="S9" s="104"/>
      <c r="T9" s="104"/>
      <c r="U9" s="104"/>
      <c r="V9" s="104"/>
      <c r="W9" s="108"/>
      <c r="X9" s="106"/>
      <c r="Y9" s="391">
        <f>Settings!E29</f>
        <v>0.7</v>
      </c>
      <c r="Z9" s="137"/>
      <c r="AA9" s="137"/>
      <c r="AB9" s="106"/>
      <c r="AC9" s="106"/>
      <c r="AD9" s="106"/>
      <c r="AE9" s="106"/>
      <c r="AF9" s="106"/>
      <c r="AG9" s="106"/>
      <c r="AH9" s="106"/>
      <c r="AI9" s="106"/>
      <c r="AJ9" s="106"/>
      <c r="AK9" s="106"/>
      <c r="AL9" s="106"/>
      <c r="AM9" s="106"/>
      <c r="AN9" s="106"/>
    </row>
    <row r="10" spans="1:40" ht="20" customHeight="1">
      <c r="A10" s="106"/>
      <c r="B10" s="521"/>
      <c r="C10" s="521"/>
      <c r="D10" s="521"/>
      <c r="E10" s="110"/>
      <c r="F10" s="110"/>
      <c r="G10" s="110"/>
      <c r="H10" s="110"/>
      <c r="I10" s="245"/>
      <c r="J10" s="519"/>
      <c r="K10" s="245"/>
      <c r="L10" s="108"/>
      <c r="M10" s="521"/>
      <c r="N10" s="521"/>
      <c r="O10" s="521"/>
      <c r="P10" s="110"/>
      <c r="Q10" s="110"/>
      <c r="R10" s="110"/>
      <c r="S10" s="110"/>
      <c r="T10" s="110"/>
      <c r="U10" s="110"/>
      <c r="V10" s="110"/>
      <c r="W10" s="108"/>
      <c r="X10" s="106"/>
      <c r="Y10" s="137"/>
      <c r="Z10" s="137"/>
      <c r="AA10" s="137"/>
      <c r="AB10" s="106"/>
      <c r="AC10" s="106"/>
      <c r="AD10" s="106"/>
      <c r="AE10" s="106"/>
      <c r="AF10" s="106"/>
      <c r="AG10" s="106"/>
      <c r="AH10" s="106"/>
      <c r="AI10" s="106"/>
      <c r="AJ10" s="106"/>
      <c r="AK10" s="106"/>
      <c r="AL10" s="106"/>
      <c r="AM10" s="106"/>
      <c r="AN10" s="106"/>
    </row>
    <row r="11" spans="1:40" ht="20" customHeight="1">
      <c r="A11" s="106"/>
      <c r="B11" s="521"/>
      <c r="C11" s="521"/>
      <c r="D11" s="521"/>
      <c r="E11" s="110"/>
      <c r="F11" s="110"/>
      <c r="G11" s="110"/>
      <c r="H11" s="110"/>
      <c r="I11" s="245"/>
      <c r="J11" s="519"/>
      <c r="K11" s="245"/>
      <c r="L11" s="108"/>
      <c r="M11" s="521"/>
      <c r="N11" s="521"/>
      <c r="O11" s="521"/>
      <c r="P11" s="110"/>
      <c r="Q11" s="110"/>
      <c r="R11" s="110"/>
      <c r="S11" s="110"/>
      <c r="T11" s="110"/>
      <c r="U11" s="110"/>
      <c r="V11" s="110"/>
      <c r="W11" s="108"/>
      <c r="X11" s="106"/>
      <c r="Y11" s="137"/>
      <c r="Z11" s="137"/>
      <c r="AA11" s="137"/>
      <c r="AB11" s="106"/>
      <c r="AC11" s="106"/>
      <c r="AD11" s="106"/>
      <c r="AE11" s="106"/>
      <c r="AF11" s="106"/>
      <c r="AG11" s="106"/>
      <c r="AH11" s="106"/>
      <c r="AI11" s="106"/>
      <c r="AJ11" s="106"/>
      <c r="AK11" s="106"/>
      <c r="AL11" s="106"/>
      <c r="AM11" s="106"/>
      <c r="AN11" s="106"/>
    </row>
    <row r="12" spans="1:40" s="243" customFormat="1" ht="27" customHeight="1">
      <c r="A12" s="389"/>
      <c r="B12" s="227" t="str">
        <f>'KPI1'!$B$11</f>
        <v>Objetivos</v>
      </c>
      <c r="C12" s="222" t="str">
        <f>Data!$K$5</f>
        <v>No iniciado</v>
      </c>
      <c r="D12" s="222" t="str">
        <f>Data!$K$3</f>
        <v>En progreso</v>
      </c>
      <c r="E12" s="222" t="str">
        <f>Data!$K$2</f>
        <v>Concluido</v>
      </c>
      <c r="F12" s="222" t="str">
        <f>Lan!$F$116</f>
        <v># Acciones</v>
      </c>
      <c r="G12" s="222"/>
      <c r="H12" s="246" t="str">
        <f>Data!$K$4</f>
        <v>Atrasado</v>
      </c>
      <c r="I12" s="246"/>
      <c r="J12" s="522" t="str">
        <f>Lan!$F$118</f>
        <v>Progreso</v>
      </c>
      <c r="K12" s="522"/>
      <c r="L12" s="224"/>
      <c r="M12" s="227" t="str">
        <f>'KPI1'!$B$11</f>
        <v>Objetivos</v>
      </c>
      <c r="N12" s="222" t="str">
        <f>Data!$K$5</f>
        <v>No iniciado</v>
      </c>
      <c r="O12" s="222" t="str">
        <f>Data!$K$3</f>
        <v>En progreso</v>
      </c>
      <c r="P12" s="222" t="str">
        <f>Data!$K$2</f>
        <v>Concluido</v>
      </c>
      <c r="Q12" s="222" t="str">
        <f>Lan!$F$116</f>
        <v># Acciones</v>
      </c>
      <c r="R12" s="222"/>
      <c r="S12" s="246" t="str">
        <f>Data!$K$4</f>
        <v>Atrasado</v>
      </c>
      <c r="T12" s="246"/>
      <c r="U12" s="522" t="str">
        <f>Lan!$F$118</f>
        <v>Progreso</v>
      </c>
      <c r="V12" s="522"/>
      <c r="W12" s="224"/>
      <c r="X12" s="389"/>
      <c r="Y12" s="129"/>
      <c r="Z12" s="129"/>
      <c r="AA12" s="129"/>
      <c r="AB12" s="389"/>
      <c r="AC12" s="389"/>
      <c r="AD12" s="389"/>
      <c r="AE12" s="389"/>
      <c r="AF12" s="389"/>
      <c r="AG12" s="389"/>
      <c r="AH12" s="389"/>
      <c r="AI12" s="389"/>
      <c r="AJ12" s="389"/>
      <c r="AK12" s="389"/>
      <c r="AL12" s="389"/>
      <c r="AM12" s="389"/>
      <c r="AN12" s="389"/>
    </row>
    <row r="13" spans="1:40" ht="27" customHeight="1">
      <c r="A13" s="106"/>
      <c r="B13" s="228" t="str">
        <f>IF(AuxPlan!$C4="","",AuxPlan!$C4)</f>
        <v>Abrir 2 nuevas sucursales en ciudades turísticas del país antes de julio de 2026.</v>
      </c>
      <c r="C13" s="119">
        <f>IF($B13="","",AuxPlan!$F4)</f>
        <v>0</v>
      </c>
      <c r="D13" s="119">
        <f>IF($B13="","",AuxPlan!$G4)</f>
        <v>1</v>
      </c>
      <c r="E13" s="119">
        <f>IF($B13="","",AuxPlan!$H4)</f>
        <v>0</v>
      </c>
      <c r="F13" s="120">
        <f>IF(B13="","",AuxPlan!$E4)</f>
        <v>1</v>
      </c>
      <c r="G13" s="104"/>
      <c r="H13" s="119">
        <f ca="1">IF($B13="","",AuxPlan!$I4)</f>
        <v>0</v>
      </c>
      <c r="I13" s="121"/>
      <c r="J13" s="122">
        <f ca="1">IF($B13="","",AuxPlan!$J4)</f>
        <v>0.2</v>
      </c>
      <c r="K13" s="123" t="str">
        <f>IF($B13="","",IF(AuxPlan!K4=0,"","●"))</f>
        <v>●</v>
      </c>
      <c r="L13" s="115">
        <f>IF(B13="","",AuxR!J20)</f>
        <v>1</v>
      </c>
      <c r="M13" s="228" t="str">
        <f>IF(AuxPlan!$C14="","",AuxPlan!$C14)</f>
        <v>Reducir en 15% los tiempos de producción promedio por lote para diciembre 2025.</v>
      </c>
      <c r="N13" s="119">
        <f>IF($M13="","",AuxPlan!F14)</f>
        <v>1</v>
      </c>
      <c r="O13" s="119">
        <f>IF($M13="","",AuxPlan!$G14)</f>
        <v>0</v>
      </c>
      <c r="P13" s="119">
        <f>IF($M13="","",AuxPlan!$H14)</f>
        <v>0</v>
      </c>
      <c r="Q13" s="120">
        <f>IF(M13="","",AuxPlan!$E14)</f>
        <v>1</v>
      </c>
      <c r="R13" s="104"/>
      <c r="S13" s="119">
        <f ca="1">IF($M13="","",AuxPlan!$I14)</f>
        <v>0</v>
      </c>
      <c r="T13" s="104"/>
      <c r="U13" s="122">
        <f ca="1">IF($M13="","",AuxPlan!$J14)</f>
        <v>0</v>
      </c>
      <c r="V13" s="123" t="str">
        <f>IF($M13="","",IF(AuxPlan!K14=0,"","●"))</f>
        <v>●</v>
      </c>
      <c r="W13" s="108">
        <f>IF(M13="","",AuxR!J30)</f>
        <v>0</v>
      </c>
      <c r="X13" s="106"/>
      <c r="Y13" s="137"/>
      <c r="Z13" s="137"/>
      <c r="AA13" s="137"/>
      <c r="AB13" s="106"/>
      <c r="AC13" s="106"/>
      <c r="AD13" s="106"/>
      <c r="AE13" s="106"/>
      <c r="AF13" s="106"/>
      <c r="AG13" s="106"/>
      <c r="AH13" s="106"/>
      <c r="AI13" s="106"/>
      <c r="AJ13" s="106"/>
      <c r="AK13" s="106"/>
      <c r="AL13" s="106"/>
      <c r="AM13" s="106"/>
      <c r="AN13" s="106"/>
    </row>
    <row r="14" spans="1:40" ht="27" customHeight="1">
      <c r="A14" s="106"/>
      <c r="B14" s="228" t="str">
        <f>IF(AuxPlan!$C5="","",AuxPlan!$C5)</f>
        <v/>
      </c>
      <c r="C14" s="119" t="str">
        <f>IF($B14="","",AuxPlan!$F5)</f>
        <v/>
      </c>
      <c r="D14" s="119" t="str">
        <f>IF($B14="","",AuxPlan!$G5)</f>
        <v/>
      </c>
      <c r="E14" s="119" t="str">
        <f>IF($B14="","",AuxPlan!$H5)</f>
        <v/>
      </c>
      <c r="F14" s="120" t="str">
        <f>IF(B14="","",AuxPlan!$E5)</f>
        <v/>
      </c>
      <c r="G14" s="104"/>
      <c r="H14" s="119" t="str">
        <f>IF($B14="","",AuxPlan!$I5)</f>
        <v/>
      </c>
      <c r="I14" s="121"/>
      <c r="J14" s="122" t="str">
        <f>IF($B14="","",AuxPlan!$J5)</f>
        <v/>
      </c>
      <c r="K14" s="123" t="str">
        <f>IF($B14="","",IF(AuxPlan!K5=0,"","●"))</f>
        <v/>
      </c>
      <c r="L14" s="115" t="str">
        <f>IF(B14="","",AuxR!J21)</f>
        <v/>
      </c>
      <c r="M14" s="228" t="str">
        <f>IF(AuxPlan!$C15="","",AuxPlan!$C15)</f>
        <v/>
      </c>
      <c r="N14" s="119" t="str">
        <f>IF($M14="","",AuxPlan!F15)</f>
        <v/>
      </c>
      <c r="O14" s="119" t="str">
        <f>IF($M14="","",AuxPlan!$G15)</f>
        <v/>
      </c>
      <c r="P14" s="119" t="str">
        <f>IF($M14="","",AuxPlan!$H15)</f>
        <v/>
      </c>
      <c r="Q14" s="120" t="str">
        <f>IF(M14="","",AuxPlan!$E15)</f>
        <v/>
      </c>
      <c r="R14" s="104"/>
      <c r="S14" s="119" t="str">
        <f>IF($M14="","",AuxPlan!$I15)</f>
        <v/>
      </c>
      <c r="T14" s="104"/>
      <c r="U14" s="122" t="str">
        <f>IF($M14="","",AuxPlan!$J15)</f>
        <v/>
      </c>
      <c r="V14" s="123" t="str">
        <f>IF($M14="","",IF(AuxPlan!K15=0,"","●"))</f>
        <v/>
      </c>
      <c r="W14" s="108" t="str">
        <f>IF(M14="","",AuxR!J31)</f>
        <v/>
      </c>
      <c r="X14" s="106"/>
      <c r="Y14" s="106"/>
      <c r="Z14" s="106"/>
      <c r="AA14" s="106"/>
      <c r="AB14" s="106"/>
      <c r="AC14" s="106"/>
      <c r="AD14" s="106"/>
      <c r="AE14" s="106"/>
      <c r="AF14" s="106"/>
      <c r="AG14" s="106"/>
      <c r="AH14" s="106"/>
      <c r="AI14" s="106"/>
      <c r="AJ14" s="106"/>
      <c r="AK14" s="106"/>
      <c r="AL14" s="106"/>
      <c r="AM14" s="106"/>
      <c r="AN14" s="106"/>
    </row>
    <row r="15" spans="1:40" ht="27" customHeight="1">
      <c r="A15" s="106"/>
      <c r="B15" s="228" t="str">
        <f>IF(AuxPlan!$C6="","",AuxPlan!$C6)</f>
        <v/>
      </c>
      <c r="C15" s="119" t="str">
        <f>IF($B15="","",AuxPlan!$F6)</f>
        <v/>
      </c>
      <c r="D15" s="119" t="str">
        <f>IF($B15="","",AuxPlan!$G6)</f>
        <v/>
      </c>
      <c r="E15" s="119" t="str">
        <f>IF($B15="","",AuxPlan!$H6)</f>
        <v/>
      </c>
      <c r="F15" s="120" t="str">
        <f>IF(B15="","",AuxPlan!$E6)</f>
        <v/>
      </c>
      <c r="G15" s="104"/>
      <c r="H15" s="119" t="str">
        <f>IF($B15="","",AuxPlan!$I6)</f>
        <v/>
      </c>
      <c r="I15" s="121"/>
      <c r="J15" s="122" t="str">
        <f>IF($B15="","",AuxPlan!$J6)</f>
        <v/>
      </c>
      <c r="K15" s="123" t="str">
        <f>IF($B15="","",IF(AuxPlan!K6=0,"","●"))</f>
        <v/>
      </c>
      <c r="L15" s="115" t="str">
        <f>IF(B15="","",AuxR!J22)</f>
        <v/>
      </c>
      <c r="M15" s="228" t="str">
        <f>IF(AuxPlan!$C16="","",AuxPlan!$C16)</f>
        <v/>
      </c>
      <c r="N15" s="119" t="str">
        <f>IF($M15="","",AuxPlan!F16)</f>
        <v/>
      </c>
      <c r="O15" s="119" t="str">
        <f>IF($M15="","",AuxPlan!$G16)</f>
        <v/>
      </c>
      <c r="P15" s="119" t="str">
        <f>IF($M15="","",AuxPlan!$H16)</f>
        <v/>
      </c>
      <c r="Q15" s="120" t="str">
        <f>IF(M15="","",AuxPlan!$E16)</f>
        <v/>
      </c>
      <c r="R15" s="104"/>
      <c r="S15" s="119" t="str">
        <f>IF($M15="","",AuxPlan!$I16)</f>
        <v/>
      </c>
      <c r="T15" s="104"/>
      <c r="U15" s="122" t="str">
        <f>IF($M15="","",AuxPlan!$J16)</f>
        <v/>
      </c>
      <c r="V15" s="123" t="str">
        <f>IF($M15="","",IF(AuxPlan!K16=0,"","●"))</f>
        <v/>
      </c>
      <c r="W15" s="108" t="str">
        <f>IF(M15="","",AuxR!J32)</f>
        <v/>
      </c>
      <c r="X15" s="106"/>
      <c r="Y15" s="106"/>
      <c r="Z15" s="106"/>
      <c r="AA15" s="106"/>
      <c r="AB15" s="106"/>
      <c r="AC15" s="106"/>
      <c r="AD15" s="106"/>
      <c r="AE15" s="106"/>
      <c r="AF15" s="106"/>
      <c r="AG15" s="106"/>
      <c r="AH15" s="106"/>
      <c r="AI15" s="106"/>
      <c r="AJ15" s="106"/>
      <c r="AK15" s="106"/>
      <c r="AL15" s="106"/>
      <c r="AM15" s="106"/>
      <c r="AN15" s="106"/>
    </row>
    <row r="16" spans="1:40" ht="27" customHeight="1">
      <c r="A16" s="106"/>
      <c r="B16" s="228" t="str">
        <f>IF(AuxPlan!$C7="","",AuxPlan!$C7)</f>
        <v/>
      </c>
      <c r="C16" s="119" t="str">
        <f>IF($B16="","",AuxPlan!$F7)</f>
        <v/>
      </c>
      <c r="D16" s="119" t="str">
        <f>IF($B16="","",AuxPlan!$G7)</f>
        <v/>
      </c>
      <c r="E16" s="119" t="str">
        <f>IF($B16="","",AuxPlan!$H7)</f>
        <v/>
      </c>
      <c r="F16" s="120" t="str">
        <f>IF(B16="","",AuxPlan!$E7)</f>
        <v/>
      </c>
      <c r="G16" s="104"/>
      <c r="H16" s="119" t="str">
        <f>IF($B16="","",AuxPlan!$I7)</f>
        <v/>
      </c>
      <c r="I16" s="121"/>
      <c r="J16" s="122" t="str">
        <f>IF($B16="","",AuxPlan!$J7)</f>
        <v/>
      </c>
      <c r="K16" s="123" t="str">
        <f>IF($B16="","",IF(AuxPlan!K7=0,"","●"))</f>
        <v/>
      </c>
      <c r="L16" s="115" t="str">
        <f>IF(B16="","",AuxR!J23)</f>
        <v/>
      </c>
      <c r="M16" s="228" t="str">
        <f>IF(AuxPlan!$C17="","",AuxPlan!$C17)</f>
        <v/>
      </c>
      <c r="N16" s="119" t="str">
        <f>IF($M16="","",AuxPlan!F17)</f>
        <v/>
      </c>
      <c r="O16" s="119" t="str">
        <f>IF($M16="","",AuxPlan!$G17)</f>
        <v/>
      </c>
      <c r="P16" s="119" t="str">
        <f>IF($M16="","",AuxPlan!$H17)</f>
        <v/>
      </c>
      <c r="Q16" s="120" t="str">
        <f>IF(M16="","",AuxPlan!$E17)</f>
        <v/>
      </c>
      <c r="R16" s="104"/>
      <c r="S16" s="119" t="str">
        <f>IF($M16="","",AuxPlan!$I17)</f>
        <v/>
      </c>
      <c r="T16" s="104"/>
      <c r="U16" s="122" t="str">
        <f>IF($M16="","",AuxPlan!$J17)</f>
        <v/>
      </c>
      <c r="V16" s="123" t="str">
        <f>IF($M16="","",IF(AuxPlan!K17=0,"","●"))</f>
        <v/>
      </c>
      <c r="W16" s="108" t="str">
        <f>IF(M16="","",AuxR!J33)</f>
        <v/>
      </c>
      <c r="X16" s="106"/>
      <c r="Y16" s="106"/>
      <c r="Z16" s="106"/>
      <c r="AA16" s="106"/>
      <c r="AB16" s="106"/>
      <c r="AC16" s="106"/>
      <c r="AD16" s="106"/>
      <c r="AE16" s="106"/>
      <c r="AF16" s="106"/>
      <c r="AG16" s="106"/>
      <c r="AH16" s="106"/>
      <c r="AI16" s="106"/>
      <c r="AJ16" s="106"/>
      <c r="AK16" s="106"/>
      <c r="AL16" s="106"/>
      <c r="AM16" s="106"/>
      <c r="AN16" s="106"/>
    </row>
    <row r="17" spans="1:40" ht="27" customHeight="1">
      <c r="A17" s="106"/>
      <c r="B17" s="228" t="str">
        <f>IF(AuxPlan!$C8="","",AuxPlan!$C8)</f>
        <v/>
      </c>
      <c r="C17" s="119" t="str">
        <f>IF($B17="","",AuxPlan!$F8)</f>
        <v/>
      </c>
      <c r="D17" s="119" t="str">
        <f>IF($B17="","",AuxPlan!$G8)</f>
        <v/>
      </c>
      <c r="E17" s="119" t="str">
        <f>IF($B17="","",AuxPlan!$H8)</f>
        <v/>
      </c>
      <c r="F17" s="120" t="str">
        <f>IF(B17="","",AuxPlan!$E8)</f>
        <v/>
      </c>
      <c r="G17" s="104"/>
      <c r="H17" s="119" t="str">
        <f>IF($B17="","",AuxPlan!$I8)</f>
        <v/>
      </c>
      <c r="I17" s="121"/>
      <c r="J17" s="122" t="str">
        <f>IF($B17="","",AuxPlan!$J8)</f>
        <v/>
      </c>
      <c r="K17" s="123" t="str">
        <f>IF($B17="","",IF(AuxPlan!K8=0,"","●"))</f>
        <v/>
      </c>
      <c r="L17" s="115" t="str">
        <f>IF(B17="","",AuxR!J24)</f>
        <v/>
      </c>
      <c r="M17" s="228" t="str">
        <f>IF(AuxPlan!$C18="","",AuxPlan!$C18)</f>
        <v/>
      </c>
      <c r="N17" s="119" t="str">
        <f>IF($M17="","",AuxPlan!F18)</f>
        <v/>
      </c>
      <c r="O17" s="119" t="str">
        <f>IF($M17="","",AuxPlan!$G18)</f>
        <v/>
      </c>
      <c r="P17" s="119" t="str">
        <f>IF($M17="","",AuxPlan!$H18)</f>
        <v/>
      </c>
      <c r="Q17" s="120" t="str">
        <f>IF(M17="","",AuxPlan!$E18)</f>
        <v/>
      </c>
      <c r="R17" s="104"/>
      <c r="S17" s="119" t="str">
        <f>IF($M17="","",AuxPlan!$I18)</f>
        <v/>
      </c>
      <c r="T17" s="104"/>
      <c r="U17" s="122" t="str">
        <f>IF($M17="","",AuxPlan!$J18)</f>
        <v/>
      </c>
      <c r="V17" s="123" t="str">
        <f>IF($M17="","",IF(AuxPlan!K18=0,"","●"))</f>
        <v/>
      </c>
      <c r="W17" s="108" t="str">
        <f>IF(M17="","",AuxR!J34)</f>
        <v/>
      </c>
      <c r="X17" s="106"/>
      <c r="Y17" s="106"/>
      <c r="Z17" s="106"/>
      <c r="AA17" s="106"/>
      <c r="AB17" s="106"/>
      <c r="AC17" s="106"/>
      <c r="AD17" s="106"/>
      <c r="AE17" s="106"/>
      <c r="AF17" s="106"/>
      <c r="AG17" s="106"/>
      <c r="AH17" s="106"/>
      <c r="AI17" s="106"/>
      <c r="AJ17" s="106"/>
      <c r="AK17" s="106"/>
      <c r="AL17" s="106"/>
      <c r="AM17" s="106"/>
      <c r="AN17" s="106"/>
    </row>
    <row r="18" spans="1:40" ht="27" customHeight="1">
      <c r="A18" s="106"/>
      <c r="B18" s="228" t="str">
        <f>IF(AuxPlan!$C9="","",AuxPlan!$C9)</f>
        <v/>
      </c>
      <c r="C18" s="119" t="str">
        <f>IF($B18="","",AuxPlan!$F9)</f>
        <v/>
      </c>
      <c r="D18" s="119" t="str">
        <f>IF($B18="","",AuxPlan!$G9)</f>
        <v/>
      </c>
      <c r="E18" s="119" t="str">
        <f>IF($B18="","",AuxPlan!$H9)</f>
        <v/>
      </c>
      <c r="F18" s="120" t="str">
        <f>IF(B18="","",AuxPlan!$E9)</f>
        <v/>
      </c>
      <c r="G18" s="104"/>
      <c r="H18" s="119" t="str">
        <f>IF($B18="","",AuxPlan!$I9)</f>
        <v/>
      </c>
      <c r="I18" s="121"/>
      <c r="J18" s="122" t="str">
        <f>IF($B18="","",AuxPlan!$J9)</f>
        <v/>
      </c>
      <c r="K18" s="123" t="str">
        <f>IF($B18="","",IF(AuxPlan!K9=0,"","●"))</f>
        <v/>
      </c>
      <c r="L18" s="115" t="str">
        <f>IF(B18="","",AuxR!J25)</f>
        <v/>
      </c>
      <c r="M18" s="228" t="str">
        <f>IF(AuxPlan!$C19="","",AuxPlan!$C19)</f>
        <v/>
      </c>
      <c r="N18" s="119" t="str">
        <f>IF($M18="","",AuxPlan!F19)</f>
        <v/>
      </c>
      <c r="O18" s="119" t="str">
        <f>IF($M18="","",AuxPlan!$G19)</f>
        <v/>
      </c>
      <c r="P18" s="119" t="str">
        <f>IF($M18="","",AuxPlan!$H19)</f>
        <v/>
      </c>
      <c r="Q18" s="120" t="str">
        <f>IF(M18="","",AuxPlan!$E19)</f>
        <v/>
      </c>
      <c r="R18" s="104"/>
      <c r="S18" s="119" t="str">
        <f>IF($M18="","",AuxPlan!$I19)</f>
        <v/>
      </c>
      <c r="T18" s="104"/>
      <c r="U18" s="122" t="str">
        <f>IF($M18="","",AuxPlan!$J19)</f>
        <v/>
      </c>
      <c r="V18" s="123" t="str">
        <f>IF($M18="","",IF(AuxPlan!K19=0,"","●"))</f>
        <v/>
      </c>
      <c r="W18" s="108" t="str">
        <f>IF(M18="","",AuxR!J35)</f>
        <v/>
      </c>
      <c r="X18" s="106"/>
      <c r="Y18" s="106"/>
      <c r="Z18" s="106"/>
      <c r="AA18" s="106"/>
      <c r="AB18" s="106"/>
      <c r="AC18" s="106"/>
      <c r="AD18" s="106"/>
      <c r="AE18" s="106"/>
      <c r="AF18" s="106"/>
      <c r="AG18" s="106"/>
      <c r="AH18" s="106"/>
      <c r="AI18" s="106"/>
      <c r="AJ18" s="106"/>
      <c r="AK18" s="106"/>
      <c r="AL18" s="106"/>
      <c r="AM18" s="106"/>
      <c r="AN18" s="106"/>
    </row>
    <row r="19" spans="1:40" ht="27" customHeight="1">
      <c r="A19" s="106"/>
      <c r="B19" s="228" t="str">
        <f>IF(AuxPlan!$C10="","",AuxPlan!$C10)</f>
        <v/>
      </c>
      <c r="C19" s="119" t="str">
        <f>IF($B19="","",AuxPlan!$F10)</f>
        <v/>
      </c>
      <c r="D19" s="119" t="str">
        <f>IF($B19="","",AuxPlan!$G10)</f>
        <v/>
      </c>
      <c r="E19" s="119" t="str">
        <f>IF($B19="","",AuxPlan!$H10)</f>
        <v/>
      </c>
      <c r="F19" s="120" t="str">
        <f>IF(B19="","",AuxPlan!$E10)</f>
        <v/>
      </c>
      <c r="G19" s="104"/>
      <c r="H19" s="119" t="str">
        <f>IF($B19="","",AuxPlan!$I10)</f>
        <v/>
      </c>
      <c r="I19" s="121"/>
      <c r="J19" s="122" t="str">
        <f>IF($B19="","",AuxPlan!$J10)</f>
        <v/>
      </c>
      <c r="K19" s="123" t="str">
        <f>IF($B19="","",IF(AuxPlan!K10=0,"","●"))</f>
        <v/>
      </c>
      <c r="L19" s="115" t="str">
        <f>IF(B19="","",AuxR!J26)</f>
        <v/>
      </c>
      <c r="M19" s="228" t="str">
        <f>IF(AuxPlan!$C20="","",AuxPlan!$C20)</f>
        <v/>
      </c>
      <c r="N19" s="119" t="str">
        <f>IF($M19="","",AuxPlan!F20)</f>
        <v/>
      </c>
      <c r="O19" s="119" t="str">
        <f>IF($M19="","",AuxPlan!$G20)</f>
        <v/>
      </c>
      <c r="P19" s="119" t="str">
        <f>IF($M19="","",AuxPlan!$H20)</f>
        <v/>
      </c>
      <c r="Q19" s="120" t="str">
        <f>IF(M19="","",AuxPlan!$E20)</f>
        <v/>
      </c>
      <c r="R19" s="104"/>
      <c r="S19" s="119" t="str">
        <f>IF($M19="","",AuxPlan!$I20)</f>
        <v/>
      </c>
      <c r="T19" s="104"/>
      <c r="U19" s="122" t="str">
        <f>IF($M19="","",AuxPlan!$J20)</f>
        <v/>
      </c>
      <c r="V19" s="123" t="str">
        <f>IF($M19="","",IF(AuxPlan!K20=0,"","●"))</f>
        <v/>
      </c>
      <c r="W19" s="108" t="str">
        <f>IF(M19="","",AuxR!J36)</f>
        <v/>
      </c>
      <c r="X19" s="106"/>
      <c r="Y19" s="106"/>
      <c r="Z19" s="106"/>
      <c r="AA19" s="106"/>
      <c r="AB19" s="106"/>
      <c r="AC19" s="106"/>
      <c r="AD19" s="106"/>
      <c r="AE19" s="106"/>
      <c r="AF19" s="106"/>
      <c r="AG19" s="106"/>
      <c r="AH19" s="106"/>
      <c r="AI19" s="106"/>
      <c r="AJ19" s="106"/>
      <c r="AK19" s="106"/>
      <c r="AL19" s="106"/>
      <c r="AM19" s="106"/>
      <c r="AN19" s="106"/>
    </row>
    <row r="20" spans="1:40" ht="27" customHeight="1">
      <c r="A20" s="106"/>
      <c r="B20" s="228" t="str">
        <f>IF(AuxPlan!$C11="","",AuxPlan!$C11)</f>
        <v/>
      </c>
      <c r="C20" s="119" t="str">
        <f>IF($B20="","",AuxPlan!$F11)</f>
        <v/>
      </c>
      <c r="D20" s="119" t="str">
        <f>IF($B20="","",AuxPlan!$G11)</f>
        <v/>
      </c>
      <c r="E20" s="119" t="str">
        <f>IF($B20="","",AuxPlan!$H11)</f>
        <v/>
      </c>
      <c r="F20" s="120" t="str">
        <f>IF(B20="","",AuxPlan!$E11)</f>
        <v/>
      </c>
      <c r="G20" s="104"/>
      <c r="H20" s="119" t="str">
        <f>IF($B20="","",AuxPlan!$I11)</f>
        <v/>
      </c>
      <c r="I20" s="121"/>
      <c r="J20" s="122" t="str">
        <f>IF($B20="","",AuxPlan!$J11)</f>
        <v/>
      </c>
      <c r="K20" s="123" t="str">
        <f>IF($B20="","",IF(AuxPlan!K11=0,"","●"))</f>
        <v/>
      </c>
      <c r="L20" s="115" t="str">
        <f>IF(B20="","",AuxR!J27)</f>
        <v/>
      </c>
      <c r="M20" s="228" t="str">
        <f>IF(AuxPlan!$C21="","",AuxPlan!$C21)</f>
        <v/>
      </c>
      <c r="N20" s="119" t="str">
        <f>IF($M20="","",AuxPlan!F21)</f>
        <v/>
      </c>
      <c r="O20" s="119" t="str">
        <f>IF($M20="","",AuxPlan!$G21)</f>
        <v/>
      </c>
      <c r="P20" s="119" t="str">
        <f>IF($M20="","",AuxPlan!$H21)</f>
        <v/>
      </c>
      <c r="Q20" s="120" t="str">
        <f>IF(M20="","",AuxPlan!$E21)</f>
        <v/>
      </c>
      <c r="R20" s="104"/>
      <c r="S20" s="119" t="str">
        <f>IF($M20="","",AuxPlan!$I21)</f>
        <v/>
      </c>
      <c r="T20" s="104"/>
      <c r="U20" s="122" t="str">
        <f>IF($M20="","",AuxPlan!$J21)</f>
        <v/>
      </c>
      <c r="V20" s="123" t="str">
        <f>IF($M20="","",IF(AuxPlan!K21=0,"","●"))</f>
        <v/>
      </c>
      <c r="W20" s="108" t="str">
        <f>IF(M20="","",AuxR!J37)</f>
        <v/>
      </c>
      <c r="X20" s="106"/>
      <c r="Y20" s="106"/>
      <c r="Z20" s="106"/>
      <c r="AA20" s="106"/>
      <c r="AB20" s="106"/>
      <c r="AC20" s="106"/>
      <c r="AD20" s="106"/>
      <c r="AE20" s="106"/>
      <c r="AF20" s="106"/>
      <c r="AG20" s="106"/>
      <c r="AH20" s="106"/>
      <c r="AI20" s="106"/>
      <c r="AJ20" s="106"/>
      <c r="AK20" s="106"/>
      <c r="AL20" s="106"/>
      <c r="AM20" s="106"/>
      <c r="AN20" s="106"/>
    </row>
    <row r="21" spans="1:40" ht="27" customHeight="1">
      <c r="A21" s="106"/>
      <c r="B21" s="228" t="str">
        <f>IF(AuxPlan!$C12="","",AuxPlan!$C12)</f>
        <v/>
      </c>
      <c r="C21" s="119" t="str">
        <f>IF($B21="","",AuxPlan!$F12)</f>
        <v/>
      </c>
      <c r="D21" s="119" t="str">
        <f>IF($B21="","",AuxPlan!$G12)</f>
        <v/>
      </c>
      <c r="E21" s="119" t="str">
        <f>IF($B21="","",AuxPlan!$H12)</f>
        <v/>
      </c>
      <c r="F21" s="120" t="str">
        <f>IF(B21="","",AuxPlan!$E12)</f>
        <v/>
      </c>
      <c r="G21" s="104"/>
      <c r="H21" s="119" t="str">
        <f>IF($B21="","",AuxPlan!$I12)</f>
        <v/>
      </c>
      <c r="I21" s="121"/>
      <c r="J21" s="122" t="str">
        <f>IF($B21="","",AuxPlan!$J12)</f>
        <v/>
      </c>
      <c r="K21" s="123" t="str">
        <f>IF($B21="","",IF(AuxPlan!K12=0,"","●"))</f>
        <v/>
      </c>
      <c r="L21" s="115" t="str">
        <f>IF(B21="","",AuxR!J28)</f>
        <v/>
      </c>
      <c r="M21" s="228" t="str">
        <f>IF(AuxPlan!$C22="","",AuxPlan!$C22)</f>
        <v/>
      </c>
      <c r="N21" s="119" t="str">
        <f>IF($M21="","",AuxPlan!F22)</f>
        <v/>
      </c>
      <c r="O21" s="119" t="str">
        <f>IF($M21="","",AuxPlan!$G22)</f>
        <v/>
      </c>
      <c r="P21" s="119" t="str">
        <f>IF($M21="","",AuxPlan!$H22)</f>
        <v/>
      </c>
      <c r="Q21" s="120" t="str">
        <f>IF(M21="","",AuxPlan!$E22)</f>
        <v/>
      </c>
      <c r="R21" s="104"/>
      <c r="S21" s="119" t="str">
        <f>IF($M21="","",AuxPlan!$I22)</f>
        <v/>
      </c>
      <c r="T21" s="104"/>
      <c r="U21" s="122" t="str">
        <f>IF($M21="","",AuxPlan!$J22)</f>
        <v/>
      </c>
      <c r="V21" s="123" t="str">
        <f>IF($M21="","",IF(AuxPlan!K22=0,"","●"))</f>
        <v/>
      </c>
      <c r="W21" s="108" t="str">
        <f>IF(M21="","",AuxR!J38)</f>
        <v/>
      </c>
      <c r="X21" s="106"/>
      <c r="Y21" s="106"/>
      <c r="Z21" s="106"/>
      <c r="AA21" s="106"/>
      <c r="AB21" s="106"/>
      <c r="AC21" s="106"/>
      <c r="AD21" s="106"/>
      <c r="AE21" s="106"/>
      <c r="AF21" s="106"/>
      <c r="AG21" s="106"/>
      <c r="AH21" s="106"/>
      <c r="AI21" s="106"/>
      <c r="AJ21" s="106"/>
      <c r="AK21" s="106"/>
      <c r="AL21" s="106"/>
      <c r="AM21" s="106"/>
      <c r="AN21" s="106"/>
    </row>
    <row r="22" spans="1:40" ht="27" customHeight="1">
      <c r="A22" s="106"/>
      <c r="B22" s="228" t="str">
        <f>IF(AuxPlan!$C13="","",AuxPlan!$C13)</f>
        <v/>
      </c>
      <c r="C22" s="119" t="str">
        <f>IF($B22="","",AuxPlan!$F13)</f>
        <v/>
      </c>
      <c r="D22" s="119" t="str">
        <f>IF($B22="","",AuxPlan!$G13)</f>
        <v/>
      </c>
      <c r="E22" s="119" t="str">
        <f>IF($B22="","",AuxPlan!$H13)</f>
        <v/>
      </c>
      <c r="F22" s="120" t="str">
        <f>IF(B22="","",AuxPlan!$E13)</f>
        <v/>
      </c>
      <c r="G22" s="104"/>
      <c r="H22" s="119" t="str">
        <f>IF($B22="","",AuxPlan!$I13)</f>
        <v/>
      </c>
      <c r="I22" s="121"/>
      <c r="J22" s="122" t="str">
        <f>IF($B22="","",AuxPlan!$J13)</f>
        <v/>
      </c>
      <c r="K22" s="123" t="str">
        <f>IF($B22="","",IF(AuxPlan!K13=0,"","●"))</f>
        <v/>
      </c>
      <c r="L22" s="115" t="str">
        <f>IF(B22="","",AuxR!J29)</f>
        <v/>
      </c>
      <c r="M22" s="228" t="str">
        <f>IF(AuxPlan!$C23="","",AuxPlan!$C23)</f>
        <v/>
      </c>
      <c r="N22" s="119" t="str">
        <f>IF($M22="","",AuxPlan!F23)</f>
        <v/>
      </c>
      <c r="O22" s="119" t="str">
        <f>IF($M22="","",AuxPlan!$G23)</f>
        <v/>
      </c>
      <c r="P22" s="119" t="str">
        <f>IF($M22="","",AuxPlan!$H23)</f>
        <v/>
      </c>
      <c r="Q22" s="120" t="str">
        <f>IF(M22="","",AuxPlan!$E23)</f>
        <v/>
      </c>
      <c r="R22" s="104"/>
      <c r="S22" s="119" t="str">
        <f>IF($M22="","",AuxPlan!$I23)</f>
        <v/>
      </c>
      <c r="T22" s="104"/>
      <c r="U22" s="122" t="str">
        <f>IF($M22="","",AuxPlan!$J23)</f>
        <v/>
      </c>
      <c r="V22" s="123" t="str">
        <f>IF($M22="","",IF(AuxPlan!K23=0,"","●"))</f>
        <v/>
      </c>
      <c r="W22" s="108" t="str">
        <f>IF(M22="","",AuxR!J39)</f>
        <v/>
      </c>
      <c r="X22" s="106"/>
      <c r="Y22" s="106"/>
      <c r="Z22" s="106"/>
      <c r="AA22" s="106"/>
      <c r="AB22" s="106"/>
      <c r="AC22" s="106"/>
      <c r="AD22" s="106"/>
      <c r="AE22" s="106"/>
      <c r="AF22" s="106"/>
      <c r="AG22" s="106"/>
      <c r="AH22" s="106"/>
      <c r="AI22" s="106"/>
      <c r="AJ22" s="106"/>
      <c r="AK22" s="106"/>
      <c r="AL22" s="106"/>
      <c r="AM22" s="106"/>
      <c r="AN22" s="106"/>
    </row>
    <row r="23" spans="1:40" ht="27" customHeight="1">
      <c r="A23" s="106"/>
      <c r="B23" s="232" t="str">
        <f>PROPER(Lan!$F$61)</f>
        <v>Total</v>
      </c>
      <c r="C23" s="124">
        <f t="shared" ref="C23:H23" si="0">SUM(C13:C22)</f>
        <v>0</v>
      </c>
      <c r="D23" s="124">
        <f t="shared" si="0"/>
        <v>1</v>
      </c>
      <c r="E23" s="124">
        <f t="shared" si="0"/>
        <v>0</v>
      </c>
      <c r="F23" s="124">
        <f t="shared" si="0"/>
        <v>1</v>
      </c>
      <c r="G23" s="125">
        <f t="shared" si="0"/>
        <v>0</v>
      </c>
      <c r="H23" s="124">
        <f t="shared" ca="1" si="0"/>
        <v>0</v>
      </c>
      <c r="I23" s="126"/>
      <c r="J23" s="127">
        <f ca="1">AuxPlan!$C$66</f>
        <v>0.2</v>
      </c>
      <c r="K23" s="128" t="str">
        <f>IF($B23="","","●")</f>
        <v>●</v>
      </c>
      <c r="L23" s="108"/>
      <c r="M23" s="235" t="str">
        <f>PROPER(Lan!$F$61)</f>
        <v>Total</v>
      </c>
      <c r="N23" s="124">
        <f t="shared" ref="N23:S23" si="1">SUM(N13:N22)</f>
        <v>1</v>
      </c>
      <c r="O23" s="124">
        <f t="shared" si="1"/>
        <v>0</v>
      </c>
      <c r="P23" s="124">
        <f t="shared" si="1"/>
        <v>0</v>
      </c>
      <c r="Q23" s="124">
        <f t="shared" si="1"/>
        <v>1</v>
      </c>
      <c r="R23" s="125">
        <f t="shared" si="1"/>
        <v>0</v>
      </c>
      <c r="S23" s="124">
        <f t="shared" ca="1" si="1"/>
        <v>0</v>
      </c>
      <c r="T23" s="126"/>
      <c r="U23" s="127">
        <f ca="1">AuxPlan!$C$66</f>
        <v>0.2</v>
      </c>
      <c r="V23" s="128" t="str">
        <f>IF($M23="","","●")</f>
        <v>●</v>
      </c>
      <c r="W23" s="108"/>
      <c r="X23" s="106"/>
      <c r="Y23" s="106"/>
      <c r="Z23" s="106"/>
      <c r="AA23" s="106"/>
      <c r="AB23" s="106"/>
      <c r="AC23" s="106"/>
      <c r="AD23" s="106"/>
      <c r="AE23" s="106"/>
      <c r="AF23" s="106"/>
      <c r="AG23" s="106"/>
      <c r="AH23" s="106"/>
      <c r="AI23" s="106"/>
      <c r="AJ23" s="106"/>
      <c r="AK23" s="106"/>
      <c r="AL23" s="106"/>
      <c r="AM23" s="106"/>
      <c r="AN23" s="106"/>
    </row>
    <row r="24" spans="1:40" ht="20" customHeight="1">
      <c r="A24" s="106"/>
      <c r="B24" s="233"/>
      <c r="C24" s="130"/>
      <c r="D24" s="130"/>
      <c r="E24" s="130"/>
      <c r="F24" s="130"/>
      <c r="G24" s="130"/>
      <c r="H24" s="130"/>
      <c r="I24" s="129"/>
      <c r="J24" s="131"/>
      <c r="K24" s="126"/>
      <c r="L24" s="108"/>
      <c r="M24" s="226"/>
      <c r="N24" s="104"/>
      <c r="O24" s="104"/>
      <c r="P24" s="104"/>
      <c r="Q24" s="104"/>
      <c r="R24" s="130"/>
      <c r="S24" s="104"/>
      <c r="T24" s="130"/>
      <c r="U24" s="104"/>
      <c r="V24" s="104"/>
      <c r="W24" s="108"/>
      <c r="X24" s="106"/>
      <c r="Y24" s="106"/>
      <c r="Z24" s="106"/>
      <c r="AA24" s="106"/>
      <c r="AB24" s="106"/>
      <c r="AC24" s="106"/>
      <c r="AD24" s="106"/>
      <c r="AE24" s="106"/>
      <c r="AF24" s="106"/>
      <c r="AG24" s="106"/>
      <c r="AH24" s="106"/>
      <c r="AI24" s="106"/>
      <c r="AJ24" s="106"/>
      <c r="AK24" s="106"/>
      <c r="AL24" s="106"/>
      <c r="AM24" s="106"/>
      <c r="AN24" s="106"/>
    </row>
    <row r="25" spans="1:40" ht="20" customHeight="1">
      <c r="A25" s="106"/>
      <c r="B25" s="521" t="str">
        <f>IF(Goals!C14="","",Goals!C14)</f>
        <v>Fortalecer el posicionamiento de la marca Caracolitos a nivel nacional.</v>
      </c>
      <c r="C25" s="521"/>
      <c r="D25" s="521"/>
      <c r="E25" s="117"/>
      <c r="F25" s="117"/>
      <c r="G25" s="117"/>
      <c r="H25" s="117"/>
      <c r="I25" s="117"/>
      <c r="J25" s="117"/>
      <c r="K25" s="117"/>
      <c r="L25" s="108"/>
      <c r="M25" s="521" t="str">
        <f>IF(Goals!C15="","",Goals!C15)</f>
        <v>Asegurar la calidad e inocuidad de los productos en todos los procesos de la planta.</v>
      </c>
      <c r="N25" s="521"/>
      <c r="O25" s="521"/>
      <c r="P25" s="104"/>
      <c r="Q25" s="104"/>
      <c r="R25" s="117"/>
      <c r="S25" s="104"/>
      <c r="T25" s="117"/>
      <c r="U25" s="104"/>
      <c r="V25" s="104"/>
      <c r="W25" s="108"/>
      <c r="X25" s="106"/>
      <c r="Y25" s="106"/>
      <c r="Z25" s="106"/>
      <c r="AA25" s="106"/>
      <c r="AB25" s="106"/>
      <c r="AC25" s="106"/>
      <c r="AD25" s="106"/>
      <c r="AE25" s="106"/>
      <c r="AF25" s="106"/>
      <c r="AG25" s="106"/>
      <c r="AH25" s="106"/>
      <c r="AI25" s="106"/>
      <c r="AJ25" s="106"/>
      <c r="AK25" s="106"/>
      <c r="AL25" s="106"/>
      <c r="AM25" s="106"/>
      <c r="AN25" s="106"/>
    </row>
    <row r="26" spans="1:40" ht="20" customHeight="1">
      <c r="A26" s="106"/>
      <c r="B26" s="521"/>
      <c r="C26" s="521"/>
      <c r="D26" s="521"/>
      <c r="E26" s="110"/>
      <c r="F26" s="110"/>
      <c r="G26" s="110"/>
      <c r="H26" s="110"/>
      <c r="I26" s="110"/>
      <c r="J26" s="106"/>
      <c r="K26" s="106"/>
      <c r="L26" s="108"/>
      <c r="M26" s="521"/>
      <c r="N26" s="521"/>
      <c r="O26" s="521"/>
      <c r="P26" s="110"/>
      <c r="Q26" s="110"/>
      <c r="R26" s="110"/>
      <c r="S26" s="110"/>
      <c r="T26" s="110"/>
      <c r="U26" s="110"/>
      <c r="V26" s="117"/>
      <c r="W26" s="108"/>
      <c r="X26" s="106"/>
      <c r="Y26" s="106"/>
      <c r="Z26" s="106"/>
      <c r="AA26" s="106"/>
      <c r="AB26" s="106"/>
      <c r="AC26" s="106"/>
      <c r="AD26" s="106"/>
      <c r="AE26" s="106"/>
      <c r="AF26" s="106"/>
      <c r="AG26" s="106"/>
      <c r="AH26" s="106"/>
      <c r="AI26" s="106"/>
      <c r="AJ26" s="106"/>
      <c r="AK26" s="106"/>
      <c r="AL26" s="106"/>
      <c r="AM26" s="106"/>
      <c r="AN26" s="106"/>
    </row>
    <row r="27" spans="1:40" ht="20" customHeight="1">
      <c r="A27" s="106"/>
      <c r="B27" s="521"/>
      <c r="C27" s="521"/>
      <c r="D27" s="521"/>
      <c r="E27" s="106"/>
      <c r="F27" s="106"/>
      <c r="G27" s="106"/>
      <c r="H27" s="106"/>
      <c r="I27" s="106"/>
      <c r="J27" s="106"/>
      <c r="K27" s="106"/>
      <c r="L27" s="108"/>
      <c r="M27" s="521"/>
      <c r="N27" s="521"/>
      <c r="O27" s="521"/>
      <c r="P27" s="117"/>
      <c r="Q27" s="117"/>
      <c r="R27" s="106"/>
      <c r="S27" s="117"/>
      <c r="T27" s="106"/>
      <c r="U27" s="117"/>
      <c r="V27" s="117"/>
      <c r="W27" s="108"/>
      <c r="X27" s="106"/>
      <c r="Y27" s="106"/>
      <c r="Z27" s="106"/>
      <c r="AA27" s="106"/>
      <c r="AB27" s="106"/>
      <c r="AC27" s="106"/>
      <c r="AD27" s="106"/>
      <c r="AE27" s="106"/>
      <c r="AF27" s="106"/>
      <c r="AG27" s="106"/>
      <c r="AH27" s="106"/>
      <c r="AI27" s="106"/>
      <c r="AJ27" s="106"/>
      <c r="AK27" s="106"/>
      <c r="AL27" s="106"/>
      <c r="AM27" s="106"/>
      <c r="AN27" s="106"/>
    </row>
    <row r="28" spans="1:40" s="243" customFormat="1" ht="27" customHeight="1">
      <c r="A28" s="389"/>
      <c r="B28" s="227" t="str">
        <f>'KPI1'!$B$11</f>
        <v>Objetivos</v>
      </c>
      <c r="C28" s="222" t="str">
        <f>Data!$K$5</f>
        <v>No iniciado</v>
      </c>
      <c r="D28" s="222" t="str">
        <f>Data!$K$3</f>
        <v>En progreso</v>
      </c>
      <c r="E28" s="222" t="str">
        <f>Data!$K$2</f>
        <v>Concluido</v>
      </c>
      <c r="F28" s="222" t="str">
        <f>Lan!$F$116</f>
        <v># Acciones</v>
      </c>
      <c r="G28" s="222"/>
      <c r="H28" s="246" t="str">
        <f>Data!$K$4</f>
        <v>Atrasado</v>
      </c>
      <c r="I28" s="246"/>
      <c r="J28" s="522" t="str">
        <f>Lan!$F$118</f>
        <v>Progreso</v>
      </c>
      <c r="K28" s="522"/>
      <c r="L28" s="224"/>
      <c r="M28" s="227" t="str">
        <f>'KPI1'!$B$11</f>
        <v>Objetivos</v>
      </c>
      <c r="N28" s="222" t="str">
        <f>Data!$K$5</f>
        <v>No iniciado</v>
      </c>
      <c r="O28" s="222" t="str">
        <f>Data!$K$3</f>
        <v>En progreso</v>
      </c>
      <c r="P28" s="222" t="str">
        <f>Data!$K$2</f>
        <v>Concluido</v>
      </c>
      <c r="Q28" s="222" t="str">
        <f>Lan!$F$116</f>
        <v># Acciones</v>
      </c>
      <c r="R28" s="222"/>
      <c r="S28" s="246" t="str">
        <f>Data!$K$4</f>
        <v>Atrasado</v>
      </c>
      <c r="T28" s="246"/>
      <c r="U28" s="522" t="str">
        <f>Lan!$F$118</f>
        <v>Progreso</v>
      </c>
      <c r="V28" s="522"/>
      <c r="W28" s="224"/>
      <c r="X28" s="389"/>
      <c r="Y28" s="389"/>
      <c r="Z28" s="389"/>
      <c r="AA28" s="389"/>
      <c r="AB28" s="389"/>
      <c r="AC28" s="389"/>
      <c r="AD28" s="389"/>
      <c r="AE28" s="389"/>
      <c r="AF28" s="389"/>
      <c r="AG28" s="389"/>
      <c r="AH28" s="389"/>
      <c r="AI28" s="389"/>
      <c r="AJ28" s="389"/>
      <c r="AK28" s="389"/>
      <c r="AL28" s="389"/>
      <c r="AM28" s="389"/>
      <c r="AN28" s="389"/>
    </row>
    <row r="29" spans="1:40" ht="27" customHeight="1">
      <c r="A29" s="106"/>
      <c r="B29" s="234" t="str">
        <f>IF(AuxPlan!$C24="","",AuxPlan!$C24)</f>
        <v>Incrementar en 30% el reconocimiento de marca en redes sociales antes de junio de 2026.</v>
      </c>
      <c r="C29" s="132">
        <f>IF($B29="","",AuxPlan!F24)</f>
        <v>0</v>
      </c>
      <c r="D29" s="132">
        <f>IF(B29="","",AuxPlan!G24)</f>
        <v>1</v>
      </c>
      <c r="E29" s="132">
        <f>IF(B29="","",AuxPlan!H24)</f>
        <v>0</v>
      </c>
      <c r="F29" s="133">
        <f>IF(B29="","",AuxPlan!E24)</f>
        <v>1</v>
      </c>
      <c r="G29" s="134"/>
      <c r="H29" s="132">
        <f ca="1">IF($B29="","",AuxPlan!I24)</f>
        <v>0</v>
      </c>
      <c r="I29" s="121"/>
      <c r="J29" s="122">
        <f ca="1">IF($B29="","",AuxPlan!J24)</f>
        <v>0.1</v>
      </c>
      <c r="K29" s="123" t="str">
        <f>IF($B29="","",IF(AuxPlan!K24=0,"","●"))</f>
        <v>●</v>
      </c>
      <c r="L29" s="108">
        <f>IF(B29="","",AuxR!J40)</f>
        <v>1</v>
      </c>
      <c r="M29" s="234" t="str">
        <f>IF(AuxPlan!$C34="","",AuxPlan!$C34)</f>
        <v>Obtener la certificación de Buenas Prácticas de Manufactura antes de noviembre de 2026.</v>
      </c>
      <c r="N29" s="132">
        <f>IF($M29="","",AuxPlan!F34)</f>
        <v>0</v>
      </c>
      <c r="O29" s="132">
        <f>IF(M29="","",AuxPlan!G34)</f>
        <v>0</v>
      </c>
      <c r="P29" s="132">
        <f>IF(M29="","",AuxPlan!H34)</f>
        <v>0</v>
      </c>
      <c r="Q29" s="133">
        <f>IF(M29="","",AuxPlan!E34)</f>
        <v>0</v>
      </c>
      <c r="R29" s="134"/>
      <c r="S29" s="132">
        <f ca="1">IF($B29="","",AuxPlan!I34)</f>
        <v>0</v>
      </c>
      <c r="T29" s="121"/>
      <c r="U29" s="122" t="str">
        <f ca="1">IF($B29="","",AuxPlan!J34)</f>
        <v/>
      </c>
      <c r="V29" s="123" t="str">
        <f>IF($B29="","",IF(AuxPlan!K34=0,"","●"))</f>
        <v/>
      </c>
      <c r="W29" s="108">
        <f>IF(M29="","",AuxR!$J50)</f>
        <v>1</v>
      </c>
      <c r="X29" s="106"/>
      <c r="Y29" s="106"/>
      <c r="Z29" s="106"/>
      <c r="AA29" s="106"/>
      <c r="AB29" s="106"/>
      <c r="AC29" s="106"/>
      <c r="AD29" s="106"/>
      <c r="AE29" s="106"/>
      <c r="AF29" s="106"/>
      <c r="AG29" s="106"/>
      <c r="AH29" s="106"/>
      <c r="AI29" s="106"/>
      <c r="AJ29" s="106"/>
      <c r="AK29" s="106"/>
      <c r="AL29" s="106"/>
      <c r="AM29" s="106"/>
      <c r="AN29" s="106"/>
    </row>
    <row r="30" spans="1:40" ht="27" customHeight="1">
      <c r="A30" s="106"/>
      <c r="B30" s="234" t="str">
        <f>IF(AuxPlan!$C25="","",AuxPlan!$C25)</f>
        <v>Lograr que 60% de los visitantes recomienden nuestros productos en encuestas de salida para diciembre de 2025.</v>
      </c>
      <c r="C30" s="132">
        <f>IF($B30="","",AuxPlan!F25)</f>
        <v>1</v>
      </c>
      <c r="D30" s="132">
        <f>IF(B30="","",AuxPlan!G25)</f>
        <v>0</v>
      </c>
      <c r="E30" s="132">
        <f>IF(B30="","",AuxPlan!H25)</f>
        <v>0</v>
      </c>
      <c r="F30" s="133">
        <f>IF(B30="","",AuxPlan!E25)</f>
        <v>1</v>
      </c>
      <c r="G30" s="134"/>
      <c r="H30" s="132">
        <f ca="1">IF($B30="","",AuxPlan!I25)</f>
        <v>0</v>
      </c>
      <c r="I30" s="121"/>
      <c r="J30" s="122">
        <f ca="1">IF($B30="","",AuxPlan!J25)</f>
        <v>0</v>
      </c>
      <c r="K30" s="123" t="str">
        <f>IF($B30="","",IF(AuxPlan!K25=0,"","●"))</f>
        <v>●</v>
      </c>
      <c r="L30" s="108">
        <f>IF(B30="","",AuxR!J41)</f>
        <v>1</v>
      </c>
      <c r="M30" s="234" t="str">
        <f>IF(AuxPlan!$C35="","",AuxPlan!$C35)</f>
        <v>Reducir en 50% las devoluciones por defectos en producto para diciembre de 2025.</v>
      </c>
      <c r="N30" s="132">
        <f>IF($M30="","",AuxPlan!F35)</f>
        <v>0</v>
      </c>
      <c r="O30" s="132">
        <f>IF(M30="","",AuxPlan!G35)</f>
        <v>0</v>
      </c>
      <c r="P30" s="132">
        <f>IF(M30="","",AuxPlan!H35)</f>
        <v>0</v>
      </c>
      <c r="Q30" s="133">
        <f>IF(M30="","",AuxPlan!E35)</f>
        <v>0</v>
      </c>
      <c r="R30" s="134"/>
      <c r="S30" s="132">
        <f ca="1">IF($B30="","",AuxPlan!I35)</f>
        <v>0</v>
      </c>
      <c r="T30" s="121"/>
      <c r="U30" s="122" t="str">
        <f ca="1">IF($B30="","",AuxPlan!J35)</f>
        <v/>
      </c>
      <c r="V30" s="123" t="str">
        <f>IF($B30="","",IF(AuxPlan!K35=0,"","●"))</f>
        <v/>
      </c>
      <c r="W30" s="108">
        <f>IF(M30="","",AuxR!$J51)</f>
        <v>0</v>
      </c>
      <c r="X30" s="106"/>
      <c r="Y30" s="106"/>
      <c r="Z30" s="106"/>
      <c r="AA30" s="106"/>
      <c r="AB30" s="106"/>
      <c r="AC30" s="106"/>
      <c r="AD30" s="106"/>
      <c r="AE30" s="106"/>
      <c r="AF30" s="106"/>
      <c r="AG30" s="106"/>
      <c r="AH30" s="106"/>
      <c r="AI30" s="106"/>
      <c r="AJ30" s="106"/>
      <c r="AK30" s="106"/>
      <c r="AL30" s="106"/>
      <c r="AM30" s="106"/>
      <c r="AN30" s="106"/>
    </row>
    <row r="31" spans="1:40" ht="27" customHeight="1">
      <c r="A31" s="106"/>
      <c r="B31" s="234">
        <f>IF(AuxPlan!$C26="","",AuxPlan!$C26)</f>
        <v>0</v>
      </c>
      <c r="C31" s="132">
        <f>IF($B31="","",AuxPlan!F26)</f>
        <v>0</v>
      </c>
      <c r="D31" s="132">
        <f>IF(B31="","",AuxPlan!G26)</f>
        <v>0</v>
      </c>
      <c r="E31" s="132">
        <f>IF(B31="","",AuxPlan!H26)</f>
        <v>0</v>
      </c>
      <c r="F31" s="133">
        <f>IF(B31="","",AuxPlan!E26)</f>
        <v>0</v>
      </c>
      <c r="G31" s="134"/>
      <c r="H31" s="132">
        <f ca="1">IF($B31="","",AuxPlan!I26)</f>
        <v>0</v>
      </c>
      <c r="I31" s="121"/>
      <c r="J31" s="122" t="str">
        <f ca="1">IF($B31="","",AuxPlan!J26)</f>
        <v/>
      </c>
      <c r="K31" s="123" t="str">
        <f>IF($B31="","",IF(AuxPlan!K26=0,"","●"))</f>
        <v/>
      </c>
      <c r="L31" s="108">
        <f>IF(B31="","",AuxR!J42)</f>
        <v>0</v>
      </c>
      <c r="M31" s="234">
        <f>IF(AuxPlan!$C36="","",AuxPlan!$C36)</f>
        <v>0</v>
      </c>
      <c r="N31" s="132">
        <f>IF($M31="","",AuxPlan!F36)</f>
        <v>0</v>
      </c>
      <c r="O31" s="132">
        <f>IF(M31="","",AuxPlan!G36)</f>
        <v>0</v>
      </c>
      <c r="P31" s="132">
        <f>IF(M31="","",AuxPlan!H36)</f>
        <v>0</v>
      </c>
      <c r="Q31" s="133">
        <f>IF(M31="","",AuxPlan!E36)</f>
        <v>0</v>
      </c>
      <c r="R31" s="134"/>
      <c r="S31" s="132">
        <f ca="1">IF($B31="","",AuxPlan!I36)</f>
        <v>0</v>
      </c>
      <c r="T31" s="121"/>
      <c r="U31" s="122" t="str">
        <f ca="1">IF($B31="","",AuxPlan!J36)</f>
        <v/>
      </c>
      <c r="V31" s="123" t="str">
        <f>IF($B31="","",IF(AuxPlan!K36=0,"","●"))</f>
        <v/>
      </c>
      <c r="W31" s="108">
        <f>IF(M31="","",AuxR!$J52)</f>
        <v>0</v>
      </c>
      <c r="X31" s="106"/>
      <c r="Y31" s="106"/>
      <c r="Z31" s="106"/>
      <c r="AA31" s="106"/>
      <c r="AB31" s="106"/>
      <c r="AC31" s="106"/>
      <c r="AD31" s="106"/>
      <c r="AE31" s="106"/>
      <c r="AF31" s="106"/>
      <c r="AG31" s="106"/>
      <c r="AH31" s="106"/>
      <c r="AI31" s="106"/>
      <c r="AJ31" s="106"/>
      <c r="AK31" s="106"/>
      <c r="AL31" s="106"/>
      <c r="AM31" s="106"/>
      <c r="AN31" s="106"/>
    </row>
    <row r="32" spans="1:40" ht="27" customHeight="1">
      <c r="A32" s="106"/>
      <c r="B32" s="234" t="str">
        <f>IF(AuxPlan!$C27="","",AuxPlan!$C27)</f>
        <v/>
      </c>
      <c r="C32" s="132" t="str">
        <f>IF($B32="","",AuxPlan!F27)</f>
        <v/>
      </c>
      <c r="D32" s="132" t="str">
        <f>IF(B32="","",AuxPlan!G27)</f>
        <v/>
      </c>
      <c r="E32" s="132" t="str">
        <f>IF(B32="","",AuxPlan!H27)</f>
        <v/>
      </c>
      <c r="F32" s="133" t="str">
        <f>IF(B32="","",AuxPlan!E27)</f>
        <v/>
      </c>
      <c r="G32" s="134"/>
      <c r="H32" s="132" t="str">
        <f>IF($B32="","",AuxPlan!I27)</f>
        <v/>
      </c>
      <c r="I32" s="121"/>
      <c r="J32" s="122" t="str">
        <f>IF($B32="","",AuxPlan!J27)</f>
        <v/>
      </c>
      <c r="K32" s="123" t="str">
        <f>IF($B32="","",IF(AuxPlan!K27=0,"","●"))</f>
        <v/>
      </c>
      <c r="L32" s="108" t="str">
        <f>IF(B32="","",AuxR!J43)</f>
        <v/>
      </c>
      <c r="M32" s="234" t="str">
        <f>IF(AuxPlan!$C37="","",AuxPlan!$C37)</f>
        <v/>
      </c>
      <c r="N32" s="132" t="str">
        <f>IF($M32="","",AuxPlan!F37)</f>
        <v/>
      </c>
      <c r="O32" s="132" t="str">
        <f>IF(M32="","",AuxPlan!G37)</f>
        <v/>
      </c>
      <c r="P32" s="132" t="str">
        <f>IF(M32="","",AuxPlan!H37)</f>
        <v/>
      </c>
      <c r="Q32" s="133" t="str">
        <f>IF(M32="","",AuxPlan!E37)</f>
        <v/>
      </c>
      <c r="R32" s="134"/>
      <c r="S32" s="132" t="str">
        <f>IF($B32="","",AuxPlan!I37)</f>
        <v/>
      </c>
      <c r="T32" s="121"/>
      <c r="U32" s="122" t="str">
        <f>IF($B32="","",AuxPlan!J37)</f>
        <v/>
      </c>
      <c r="V32" s="123" t="str">
        <f>IF($B32="","",IF(AuxPlan!K37=0,"","●"))</f>
        <v/>
      </c>
      <c r="W32" s="108" t="str">
        <f>IF(M32="","",AuxR!$J53)</f>
        <v/>
      </c>
      <c r="X32" s="106"/>
      <c r="Y32" s="106"/>
      <c r="Z32" s="106"/>
      <c r="AA32" s="106"/>
      <c r="AB32" s="106"/>
      <c r="AC32" s="106"/>
      <c r="AD32" s="106"/>
      <c r="AE32" s="106"/>
      <c r="AF32" s="106"/>
      <c r="AG32" s="106"/>
      <c r="AH32" s="106"/>
      <c r="AI32" s="106"/>
      <c r="AJ32" s="106"/>
      <c r="AK32" s="106"/>
      <c r="AL32" s="106"/>
      <c r="AM32" s="106"/>
      <c r="AN32" s="106"/>
    </row>
    <row r="33" spans="1:40" ht="27" customHeight="1">
      <c r="A33" s="106"/>
      <c r="B33" s="234" t="str">
        <f>IF(AuxPlan!$C28="","",AuxPlan!$C28)</f>
        <v/>
      </c>
      <c r="C33" s="132" t="str">
        <f>IF($B33="","",AuxPlan!F28)</f>
        <v/>
      </c>
      <c r="D33" s="132" t="str">
        <f>IF(B33="","",AuxPlan!G28)</f>
        <v/>
      </c>
      <c r="E33" s="132" t="str">
        <f>IF(B33="","",AuxPlan!H28)</f>
        <v/>
      </c>
      <c r="F33" s="133" t="str">
        <f>IF(B33="","",AuxPlan!E28)</f>
        <v/>
      </c>
      <c r="G33" s="134"/>
      <c r="H33" s="132" t="str">
        <f>IF($B33="","",AuxPlan!I28)</f>
        <v/>
      </c>
      <c r="I33" s="121"/>
      <c r="J33" s="122" t="str">
        <f>IF($B33="","",AuxPlan!J28)</f>
        <v/>
      </c>
      <c r="K33" s="123" t="str">
        <f>IF($B33="","",IF(AuxPlan!K28=0,"","●"))</f>
        <v/>
      </c>
      <c r="L33" s="108" t="str">
        <f>IF(B33="","",AuxR!J44)</f>
        <v/>
      </c>
      <c r="M33" s="234" t="str">
        <f>IF(AuxPlan!$C38="","",AuxPlan!$C38)</f>
        <v/>
      </c>
      <c r="N33" s="132" t="str">
        <f>IF($M33="","",AuxPlan!F38)</f>
        <v/>
      </c>
      <c r="O33" s="132" t="str">
        <f>IF(M33="","",AuxPlan!G38)</f>
        <v/>
      </c>
      <c r="P33" s="132" t="str">
        <f>IF(M33="","",AuxPlan!H38)</f>
        <v/>
      </c>
      <c r="Q33" s="133" t="str">
        <f>IF(M33="","",AuxPlan!E38)</f>
        <v/>
      </c>
      <c r="R33" s="134"/>
      <c r="S33" s="132" t="str">
        <f>IF($B33="","",AuxPlan!I38)</f>
        <v/>
      </c>
      <c r="T33" s="121"/>
      <c r="U33" s="122" t="str">
        <f>IF($B33="","",AuxPlan!J38)</f>
        <v/>
      </c>
      <c r="V33" s="123" t="str">
        <f>IF($B33="","",IF(AuxPlan!K38=0,"","●"))</f>
        <v/>
      </c>
      <c r="W33" s="108" t="str">
        <f>IF(M33="","",AuxR!$J54)</f>
        <v/>
      </c>
      <c r="X33" s="106"/>
      <c r="Y33" s="106"/>
      <c r="Z33" s="106"/>
      <c r="AA33" s="106"/>
      <c r="AB33" s="106"/>
      <c r="AC33" s="106"/>
      <c r="AD33" s="106"/>
      <c r="AE33" s="106"/>
      <c r="AF33" s="106"/>
      <c r="AG33" s="106"/>
      <c r="AH33" s="106"/>
      <c r="AI33" s="106"/>
      <c r="AJ33" s="106"/>
      <c r="AK33" s="106"/>
      <c r="AL33" s="106"/>
      <c r="AM33" s="106"/>
      <c r="AN33" s="106"/>
    </row>
    <row r="34" spans="1:40" ht="27" customHeight="1">
      <c r="A34" s="106"/>
      <c r="B34" s="234" t="str">
        <f>IF(AuxPlan!$C29="","",AuxPlan!$C29)</f>
        <v/>
      </c>
      <c r="C34" s="132" t="str">
        <f>IF($B34="","",AuxPlan!F29)</f>
        <v/>
      </c>
      <c r="D34" s="132" t="str">
        <f>IF(B34="","",AuxPlan!G29)</f>
        <v/>
      </c>
      <c r="E34" s="132" t="str">
        <f>IF(B34="","",AuxPlan!H29)</f>
        <v/>
      </c>
      <c r="F34" s="133" t="str">
        <f>IF(B34="","",AuxPlan!E29)</f>
        <v/>
      </c>
      <c r="G34" s="134"/>
      <c r="H34" s="132" t="str">
        <f>IF($B34="","",AuxPlan!I29)</f>
        <v/>
      </c>
      <c r="I34" s="121"/>
      <c r="J34" s="122" t="str">
        <f>IF($B34="","",AuxPlan!J29)</f>
        <v/>
      </c>
      <c r="K34" s="123" t="str">
        <f>IF($B34="","",IF(AuxPlan!K29=0,"","●"))</f>
        <v/>
      </c>
      <c r="L34" s="108" t="str">
        <f>IF(B34="","",AuxR!J45)</f>
        <v/>
      </c>
      <c r="M34" s="234" t="str">
        <f>IF(AuxPlan!$C39="","",AuxPlan!$C39)</f>
        <v/>
      </c>
      <c r="N34" s="132" t="str">
        <f>IF($M34="","",AuxPlan!F39)</f>
        <v/>
      </c>
      <c r="O34" s="132" t="str">
        <f>IF(M34="","",AuxPlan!G39)</f>
        <v/>
      </c>
      <c r="P34" s="132" t="str">
        <f>IF(M34="","",AuxPlan!H39)</f>
        <v/>
      </c>
      <c r="Q34" s="133" t="str">
        <f>IF(M34="","",AuxPlan!E39)</f>
        <v/>
      </c>
      <c r="R34" s="134"/>
      <c r="S34" s="132" t="str">
        <f>IF($B34="","",AuxPlan!I39)</f>
        <v/>
      </c>
      <c r="T34" s="121"/>
      <c r="U34" s="122" t="str">
        <f>IF($B34="","",AuxPlan!J39)</f>
        <v/>
      </c>
      <c r="V34" s="123" t="str">
        <f>IF($B34="","",IF(AuxPlan!K39=0,"","●"))</f>
        <v/>
      </c>
      <c r="W34" s="108" t="str">
        <f>IF(M34="","",AuxR!$J55)</f>
        <v/>
      </c>
      <c r="X34" s="106"/>
      <c r="Y34" s="106"/>
      <c r="Z34" s="106"/>
      <c r="AA34" s="106"/>
      <c r="AB34" s="106"/>
      <c r="AC34" s="106"/>
      <c r="AD34" s="106"/>
      <c r="AE34" s="106"/>
      <c r="AF34" s="106"/>
      <c r="AG34" s="106"/>
      <c r="AH34" s="106"/>
      <c r="AI34" s="106"/>
      <c r="AJ34" s="106"/>
      <c r="AK34" s="106"/>
      <c r="AL34" s="106"/>
      <c r="AM34" s="106"/>
      <c r="AN34" s="106"/>
    </row>
    <row r="35" spans="1:40" ht="27" customHeight="1">
      <c r="A35" s="106"/>
      <c r="B35" s="234" t="str">
        <f>IF(AuxPlan!$C30="","",AuxPlan!$C30)</f>
        <v/>
      </c>
      <c r="C35" s="132" t="str">
        <f>IF($B35="","",AuxPlan!F30)</f>
        <v/>
      </c>
      <c r="D35" s="132" t="str">
        <f>IF(B35="","",AuxPlan!G30)</f>
        <v/>
      </c>
      <c r="E35" s="132" t="str">
        <f>IF(B35="","",AuxPlan!H30)</f>
        <v/>
      </c>
      <c r="F35" s="133" t="str">
        <f>IF(B35="","",AuxPlan!E30)</f>
        <v/>
      </c>
      <c r="G35" s="134"/>
      <c r="H35" s="132" t="str">
        <f>IF($B35="","",AuxPlan!I30)</f>
        <v/>
      </c>
      <c r="I35" s="121"/>
      <c r="J35" s="122" t="str">
        <f>IF($B35="","",AuxPlan!J30)</f>
        <v/>
      </c>
      <c r="K35" s="123" t="str">
        <f>IF($B35="","",IF(AuxPlan!K30=0,"","●"))</f>
        <v/>
      </c>
      <c r="L35" s="108" t="str">
        <f>IF(B35="","",AuxR!J46)</f>
        <v/>
      </c>
      <c r="M35" s="234" t="str">
        <f>IF(AuxPlan!$C40="","",AuxPlan!$C40)</f>
        <v/>
      </c>
      <c r="N35" s="132" t="str">
        <f>IF($M35="","",AuxPlan!F40)</f>
        <v/>
      </c>
      <c r="O35" s="132" t="str">
        <f>IF(M35="","",AuxPlan!G40)</f>
        <v/>
      </c>
      <c r="P35" s="132" t="str">
        <f>IF(M35="","",AuxPlan!H40)</f>
        <v/>
      </c>
      <c r="Q35" s="133" t="str">
        <f>IF(M35="","",AuxPlan!E40)</f>
        <v/>
      </c>
      <c r="R35" s="134"/>
      <c r="S35" s="132" t="str">
        <f>IF($B35="","",AuxPlan!I40)</f>
        <v/>
      </c>
      <c r="T35" s="121"/>
      <c r="U35" s="122" t="str">
        <f>IF($B35="","",AuxPlan!J40)</f>
        <v/>
      </c>
      <c r="V35" s="123" t="str">
        <f>IF($B35="","",IF(AuxPlan!K40=0,"","●"))</f>
        <v/>
      </c>
      <c r="W35" s="108" t="str">
        <f>IF(M35="","",AuxR!$J56)</f>
        <v/>
      </c>
      <c r="X35" s="106"/>
      <c r="Y35" s="106"/>
      <c r="Z35" s="106"/>
      <c r="AA35" s="106"/>
      <c r="AB35" s="106"/>
      <c r="AC35" s="106"/>
      <c r="AD35" s="106"/>
      <c r="AE35" s="106"/>
      <c r="AF35" s="106"/>
      <c r="AG35" s="106"/>
      <c r="AH35" s="106"/>
      <c r="AI35" s="106"/>
      <c r="AJ35" s="106"/>
      <c r="AK35" s="106"/>
      <c r="AL35" s="106"/>
      <c r="AM35" s="106"/>
      <c r="AN35" s="106"/>
    </row>
    <row r="36" spans="1:40" ht="27" customHeight="1">
      <c r="A36" s="106"/>
      <c r="B36" s="234" t="str">
        <f>IF(AuxPlan!$C31="","",AuxPlan!$C31)</f>
        <v/>
      </c>
      <c r="C36" s="132" t="str">
        <f>IF($B36="","",AuxPlan!F31)</f>
        <v/>
      </c>
      <c r="D36" s="132" t="str">
        <f>IF(B36="","",AuxPlan!G31)</f>
        <v/>
      </c>
      <c r="E36" s="132" t="str">
        <f>IF(B36="","",AuxPlan!H31)</f>
        <v/>
      </c>
      <c r="F36" s="133" t="str">
        <f>IF(B36="","",AuxPlan!E31)</f>
        <v/>
      </c>
      <c r="G36" s="134"/>
      <c r="H36" s="132" t="str">
        <f>IF($B36="","",AuxPlan!I31)</f>
        <v/>
      </c>
      <c r="I36" s="121"/>
      <c r="J36" s="122" t="str">
        <f>IF($B36="","",AuxPlan!J31)</f>
        <v/>
      </c>
      <c r="K36" s="123" t="str">
        <f>IF($B36="","",IF(AuxPlan!K31=0,"","●"))</f>
        <v/>
      </c>
      <c r="L36" s="108" t="str">
        <f>IF(B36="","",AuxR!J47)</f>
        <v/>
      </c>
      <c r="M36" s="234" t="str">
        <f>IF(AuxPlan!$C41="","",AuxPlan!$C41)</f>
        <v/>
      </c>
      <c r="N36" s="132" t="str">
        <f>IF($M36="","",AuxPlan!F41)</f>
        <v/>
      </c>
      <c r="O36" s="132" t="str">
        <f>IF(M36="","",AuxPlan!G41)</f>
        <v/>
      </c>
      <c r="P36" s="132" t="str">
        <f>IF(M36="","",AuxPlan!H41)</f>
        <v/>
      </c>
      <c r="Q36" s="133" t="str">
        <f>IF(M36="","",AuxPlan!E41)</f>
        <v/>
      </c>
      <c r="R36" s="134"/>
      <c r="S36" s="132" t="str">
        <f>IF($B36="","",AuxPlan!I41)</f>
        <v/>
      </c>
      <c r="T36" s="121"/>
      <c r="U36" s="122" t="str">
        <f>IF($B36="","",AuxPlan!J41)</f>
        <v/>
      </c>
      <c r="V36" s="123" t="str">
        <f>IF($B36="","",IF(AuxPlan!K41=0,"","●"))</f>
        <v/>
      </c>
      <c r="W36" s="108" t="str">
        <f>IF(M36="","",AuxR!$J57)</f>
        <v/>
      </c>
      <c r="X36" s="106"/>
      <c r="Y36" s="106"/>
      <c r="Z36" s="106"/>
      <c r="AA36" s="106"/>
      <c r="AB36" s="106"/>
      <c r="AC36" s="106"/>
      <c r="AD36" s="106"/>
      <c r="AE36" s="106"/>
      <c r="AF36" s="106"/>
      <c r="AG36" s="106"/>
      <c r="AH36" s="106"/>
      <c r="AI36" s="106"/>
      <c r="AJ36" s="106"/>
      <c r="AK36" s="106"/>
      <c r="AL36" s="106"/>
      <c r="AM36" s="106"/>
      <c r="AN36" s="106"/>
    </row>
    <row r="37" spans="1:40" ht="27" customHeight="1">
      <c r="A37" s="106"/>
      <c r="B37" s="234" t="str">
        <f>IF(AuxPlan!$C32="","",AuxPlan!$C32)</f>
        <v/>
      </c>
      <c r="C37" s="132" t="str">
        <f>IF($B37="","",AuxPlan!F32)</f>
        <v/>
      </c>
      <c r="D37" s="132" t="str">
        <f>IF(B37="","",AuxPlan!G32)</f>
        <v/>
      </c>
      <c r="E37" s="132" t="str">
        <f>IF(B37="","",AuxPlan!H32)</f>
        <v/>
      </c>
      <c r="F37" s="133" t="str">
        <f>IF(B37="","",AuxPlan!E32)</f>
        <v/>
      </c>
      <c r="G37" s="134"/>
      <c r="H37" s="132" t="str">
        <f>IF($B37="","",AuxPlan!I32)</f>
        <v/>
      </c>
      <c r="I37" s="121"/>
      <c r="J37" s="122" t="str">
        <f>IF($B37="","",AuxPlan!J32)</f>
        <v/>
      </c>
      <c r="K37" s="123" t="str">
        <f>IF($B37="","",IF(AuxPlan!K32=0,"","●"))</f>
        <v/>
      </c>
      <c r="L37" s="108" t="str">
        <f>IF(B37="","",AuxR!J48)</f>
        <v/>
      </c>
      <c r="M37" s="234" t="str">
        <f>IF(AuxPlan!$C42="","",AuxPlan!$C42)</f>
        <v/>
      </c>
      <c r="N37" s="132" t="str">
        <f>IF($M37="","",AuxPlan!F42)</f>
        <v/>
      </c>
      <c r="O37" s="132" t="str">
        <f>IF(M37="","",AuxPlan!G42)</f>
        <v/>
      </c>
      <c r="P37" s="132" t="str">
        <f>IF(M37="","",AuxPlan!H42)</f>
        <v/>
      </c>
      <c r="Q37" s="133" t="str">
        <f>IF(M37="","",AuxPlan!E42)</f>
        <v/>
      </c>
      <c r="R37" s="134"/>
      <c r="S37" s="132" t="str">
        <f>IF($B37="","",AuxPlan!I42)</f>
        <v/>
      </c>
      <c r="T37" s="121"/>
      <c r="U37" s="122" t="str">
        <f>IF($B37="","",AuxPlan!J42)</f>
        <v/>
      </c>
      <c r="V37" s="123" t="str">
        <f>IF($B37="","",IF(AuxPlan!K42=0,"","●"))</f>
        <v/>
      </c>
      <c r="W37" s="108" t="str">
        <f>IF(M37="","",AuxR!$J58)</f>
        <v/>
      </c>
      <c r="X37" s="106"/>
      <c r="Y37" s="106"/>
      <c r="Z37" s="106"/>
      <c r="AA37" s="106"/>
      <c r="AB37" s="106"/>
      <c r="AC37" s="106"/>
      <c r="AD37" s="106"/>
      <c r="AE37" s="106"/>
      <c r="AF37" s="106"/>
      <c r="AG37" s="106"/>
      <c r="AH37" s="106"/>
      <c r="AI37" s="106"/>
      <c r="AJ37" s="106"/>
      <c r="AK37" s="106"/>
      <c r="AL37" s="106"/>
      <c r="AM37" s="106"/>
      <c r="AN37" s="106"/>
    </row>
    <row r="38" spans="1:40" ht="27" customHeight="1">
      <c r="A38" s="106"/>
      <c r="B38" s="234" t="str">
        <f>IF(AuxPlan!$C33="","",AuxPlan!$C33)</f>
        <v/>
      </c>
      <c r="C38" s="132" t="str">
        <f>IF($B38="","",AuxPlan!F33)</f>
        <v/>
      </c>
      <c r="D38" s="132" t="str">
        <f>IF(B38="","",AuxPlan!G33)</f>
        <v/>
      </c>
      <c r="E38" s="132" t="str">
        <f>IF(B38="","",AuxPlan!H33)</f>
        <v/>
      </c>
      <c r="F38" s="133" t="str">
        <f>IF(B38="","",AuxPlan!E33)</f>
        <v/>
      </c>
      <c r="G38" s="134"/>
      <c r="H38" s="132" t="str">
        <f>IF($B38="","",AuxPlan!I33)</f>
        <v/>
      </c>
      <c r="I38" s="121"/>
      <c r="J38" s="122" t="str">
        <f>IF($B38="","",AuxPlan!J33)</f>
        <v/>
      </c>
      <c r="K38" s="123" t="str">
        <f>IF($B38="","",IF(AuxPlan!K33=0,"","●"))</f>
        <v/>
      </c>
      <c r="L38" s="108" t="str">
        <f>IF(B38="","",AuxR!J49)</f>
        <v/>
      </c>
      <c r="M38" s="234" t="str">
        <f>IF(AuxPlan!$C43="","",AuxPlan!$C43)</f>
        <v/>
      </c>
      <c r="N38" s="132" t="str">
        <f>IF($M38="","",AuxPlan!F43)</f>
        <v/>
      </c>
      <c r="O38" s="132" t="str">
        <f>IF(M38="","",AuxPlan!G43)</f>
        <v/>
      </c>
      <c r="P38" s="132" t="str">
        <f>IF(M38="","",AuxPlan!H43)</f>
        <v/>
      </c>
      <c r="Q38" s="133" t="str">
        <f>IF(M38="","",AuxPlan!E43)</f>
        <v/>
      </c>
      <c r="R38" s="134"/>
      <c r="S38" s="132" t="str">
        <f>IF($B38="","",AuxPlan!I43)</f>
        <v/>
      </c>
      <c r="T38" s="121"/>
      <c r="U38" s="122" t="str">
        <f>IF($B38="","",AuxPlan!J43)</f>
        <v/>
      </c>
      <c r="V38" s="123" t="str">
        <f>IF($B38="","",IF(AuxPlan!K43=0,"","●"))</f>
        <v/>
      </c>
      <c r="W38" s="108" t="str">
        <f>IF(M38="","",AuxR!$J59)</f>
        <v/>
      </c>
      <c r="X38" s="106"/>
      <c r="Y38" s="106"/>
      <c r="Z38" s="106"/>
      <c r="AA38" s="106"/>
      <c r="AB38" s="106"/>
      <c r="AC38" s="106"/>
      <c r="AD38" s="106"/>
      <c r="AE38" s="106"/>
      <c r="AF38" s="106"/>
      <c r="AG38" s="106"/>
      <c r="AH38" s="106"/>
      <c r="AI38" s="106"/>
      <c r="AJ38" s="106"/>
      <c r="AK38" s="106"/>
      <c r="AL38" s="106"/>
      <c r="AM38" s="106"/>
      <c r="AN38" s="106"/>
    </row>
    <row r="39" spans="1:40" ht="27" customHeight="1">
      <c r="A39" s="106"/>
      <c r="B39" s="232" t="str">
        <f>PROPER(Lan!$F$61)</f>
        <v>Total</v>
      </c>
      <c r="C39" s="124">
        <f t="shared" ref="C39:H39" si="2">SUM(C29:C38)</f>
        <v>1</v>
      </c>
      <c r="D39" s="124">
        <f t="shared" si="2"/>
        <v>1</v>
      </c>
      <c r="E39" s="124">
        <f t="shared" si="2"/>
        <v>0</v>
      </c>
      <c r="F39" s="124">
        <f t="shared" si="2"/>
        <v>2</v>
      </c>
      <c r="G39" s="125">
        <f t="shared" si="2"/>
        <v>0</v>
      </c>
      <c r="H39" s="124">
        <f t="shared" ca="1" si="2"/>
        <v>0</v>
      </c>
      <c r="I39" s="126"/>
      <c r="J39" s="127">
        <f ca="1">AuxPlan!$C$68</f>
        <v>0.05</v>
      </c>
      <c r="K39" s="128" t="str">
        <f>IF($B39="","","●")</f>
        <v>●</v>
      </c>
      <c r="L39" s="108"/>
      <c r="M39" s="232" t="str">
        <f>PROPER(Lan!$F$61)</f>
        <v>Total</v>
      </c>
      <c r="N39" s="124">
        <f t="shared" ref="N39:S39" si="3">SUM(N29:N38)</f>
        <v>0</v>
      </c>
      <c r="O39" s="124">
        <f t="shared" si="3"/>
        <v>0</v>
      </c>
      <c r="P39" s="124">
        <f t="shared" si="3"/>
        <v>0</v>
      </c>
      <c r="Q39" s="124">
        <f t="shared" si="3"/>
        <v>0</v>
      </c>
      <c r="R39" s="125">
        <f t="shared" si="3"/>
        <v>0</v>
      </c>
      <c r="S39" s="124">
        <f t="shared" ca="1" si="3"/>
        <v>0</v>
      </c>
      <c r="T39" s="126"/>
      <c r="U39" s="127">
        <f ca="1">AuxPlan!$C$68</f>
        <v>0.05</v>
      </c>
      <c r="V39" s="128" t="str">
        <f>IF($M39="","","●")</f>
        <v>●</v>
      </c>
      <c r="W39" s="108"/>
      <c r="X39" s="106"/>
      <c r="Y39" s="106"/>
      <c r="Z39" s="106"/>
      <c r="AA39" s="106"/>
      <c r="AB39" s="106"/>
      <c r="AC39" s="106"/>
      <c r="AD39" s="106"/>
      <c r="AE39" s="106"/>
      <c r="AF39" s="106"/>
      <c r="AG39" s="106"/>
      <c r="AH39" s="106"/>
      <c r="AI39" s="106"/>
      <c r="AJ39" s="106"/>
      <c r="AK39" s="106"/>
      <c r="AL39" s="106"/>
      <c r="AM39" s="106"/>
      <c r="AN39" s="106"/>
    </row>
    <row r="40" spans="1:40" ht="20" customHeight="1">
      <c r="A40" s="106"/>
      <c r="B40" s="230"/>
      <c r="C40" s="106"/>
      <c r="D40" s="106"/>
      <c r="E40" s="106"/>
      <c r="F40" s="106"/>
      <c r="G40" s="106"/>
      <c r="H40" s="106"/>
      <c r="I40" s="106"/>
      <c r="J40" s="106"/>
      <c r="K40" s="106"/>
      <c r="L40" s="108"/>
      <c r="M40" s="226"/>
      <c r="N40" s="104"/>
      <c r="O40" s="104"/>
      <c r="P40" s="104"/>
      <c r="Q40" s="104"/>
      <c r="R40" s="106"/>
      <c r="S40" s="104"/>
      <c r="T40" s="106"/>
      <c r="U40" s="104"/>
      <c r="V40" s="106"/>
      <c r="W40" s="108"/>
      <c r="X40" s="106"/>
      <c r="Y40" s="106"/>
      <c r="Z40" s="106"/>
      <c r="AA40" s="106"/>
      <c r="AB40" s="106"/>
      <c r="AC40" s="106"/>
      <c r="AD40" s="106"/>
      <c r="AE40" s="106"/>
      <c r="AF40" s="106"/>
      <c r="AG40" s="106"/>
      <c r="AH40" s="106"/>
      <c r="AI40" s="106"/>
      <c r="AJ40" s="106"/>
      <c r="AK40" s="106"/>
      <c r="AL40" s="106"/>
      <c r="AM40" s="106"/>
      <c r="AN40" s="106"/>
    </row>
    <row r="41" spans="1:40" ht="20" customHeight="1">
      <c r="A41" s="106"/>
      <c r="B41" s="521" t="str">
        <f>IF(Goals!C16="","",Goals!C16)</f>
        <v>Incrementar las ventas a través de plataformas digitales.</v>
      </c>
      <c r="C41" s="521"/>
      <c r="D41" s="521"/>
      <c r="E41" s="521"/>
      <c r="F41" s="106"/>
      <c r="G41" s="106"/>
      <c r="H41" s="106"/>
      <c r="I41" s="106"/>
      <c r="J41" s="106"/>
      <c r="K41" s="106"/>
      <c r="L41" s="108"/>
      <c r="M41" s="521" t="str">
        <f>IF(Goals!C17="","",Goals!C17)</f>
        <v>Desarrollar y fidelizar al talento humano de la empresa.</v>
      </c>
      <c r="N41" s="521"/>
      <c r="O41" s="521"/>
      <c r="P41" s="104"/>
      <c r="Q41" s="104"/>
      <c r="R41" s="106"/>
      <c r="S41" s="104"/>
      <c r="T41" s="106"/>
      <c r="U41" s="104"/>
      <c r="V41" s="106"/>
      <c r="W41" s="108"/>
      <c r="X41" s="106"/>
      <c r="Y41" s="106"/>
      <c r="Z41" s="106"/>
      <c r="AA41" s="106"/>
      <c r="AB41" s="106"/>
      <c r="AC41" s="106"/>
      <c r="AD41" s="106"/>
      <c r="AE41" s="106"/>
      <c r="AF41" s="106"/>
      <c r="AG41" s="106"/>
      <c r="AH41" s="106"/>
      <c r="AI41" s="106"/>
      <c r="AJ41" s="106"/>
      <c r="AK41" s="106"/>
      <c r="AL41" s="106"/>
      <c r="AM41" s="106"/>
      <c r="AN41" s="106"/>
    </row>
    <row r="42" spans="1:40" ht="20" customHeight="1">
      <c r="A42" s="106"/>
      <c r="B42" s="521"/>
      <c r="C42" s="521"/>
      <c r="D42" s="521"/>
      <c r="E42" s="521"/>
      <c r="F42" s="110"/>
      <c r="G42" s="110"/>
      <c r="H42" s="110"/>
      <c r="I42" s="110"/>
      <c r="J42" s="106"/>
      <c r="K42" s="106"/>
      <c r="L42" s="108"/>
      <c r="M42" s="521"/>
      <c r="N42" s="521"/>
      <c r="O42" s="521"/>
      <c r="P42" s="110"/>
      <c r="Q42" s="110"/>
      <c r="R42" s="110"/>
      <c r="S42" s="110"/>
      <c r="T42" s="110"/>
      <c r="U42" s="110"/>
      <c r="V42" s="106"/>
      <c r="W42" s="108"/>
      <c r="X42" s="106"/>
      <c r="Y42" s="106"/>
      <c r="Z42" s="106"/>
      <c r="AA42" s="106"/>
      <c r="AB42" s="106"/>
      <c r="AC42" s="106"/>
      <c r="AD42" s="106"/>
      <c r="AE42" s="106"/>
      <c r="AF42" s="106"/>
      <c r="AG42" s="106"/>
      <c r="AH42" s="106"/>
      <c r="AI42" s="106"/>
      <c r="AJ42" s="106"/>
      <c r="AK42" s="106"/>
      <c r="AL42" s="106"/>
      <c r="AM42" s="106"/>
      <c r="AN42" s="106"/>
    </row>
    <row r="43" spans="1:40" ht="20" customHeight="1">
      <c r="A43" s="106"/>
      <c r="B43" s="521"/>
      <c r="C43" s="521"/>
      <c r="D43" s="521"/>
      <c r="E43" s="521"/>
      <c r="F43" s="110"/>
      <c r="G43" s="110"/>
      <c r="H43" s="110"/>
      <c r="I43" s="110"/>
      <c r="J43" s="106"/>
      <c r="K43" s="106"/>
      <c r="L43" s="108"/>
      <c r="M43" s="521"/>
      <c r="N43" s="521"/>
      <c r="O43" s="521"/>
      <c r="P43" s="110"/>
      <c r="Q43" s="110"/>
      <c r="R43" s="110"/>
      <c r="S43" s="110"/>
      <c r="T43" s="110"/>
      <c r="U43" s="110"/>
      <c r="V43" s="106"/>
      <c r="W43" s="108"/>
      <c r="X43" s="106"/>
      <c r="Y43" s="106"/>
      <c r="Z43" s="106"/>
      <c r="AA43" s="106"/>
      <c r="AB43" s="106"/>
      <c r="AC43" s="106"/>
      <c r="AD43" s="106"/>
      <c r="AE43" s="106"/>
      <c r="AF43" s="106"/>
      <c r="AG43" s="106"/>
      <c r="AH43" s="106"/>
      <c r="AI43" s="106"/>
      <c r="AJ43" s="106"/>
      <c r="AK43" s="106"/>
      <c r="AL43" s="106"/>
      <c r="AM43" s="106"/>
      <c r="AN43" s="106"/>
    </row>
    <row r="44" spans="1:40" s="243" customFormat="1" ht="27" customHeight="1">
      <c r="A44" s="389"/>
      <c r="B44" s="227" t="str">
        <f>'KPI1'!$B$11</f>
        <v>Objetivos</v>
      </c>
      <c r="C44" s="222" t="str">
        <f>Data!$K$5</f>
        <v>No iniciado</v>
      </c>
      <c r="D44" s="222" t="str">
        <f>Data!$K$3</f>
        <v>En progreso</v>
      </c>
      <c r="E44" s="222" t="str">
        <f>Data!$K$2</f>
        <v>Concluido</v>
      </c>
      <c r="F44" s="222" t="str">
        <f>Lan!$F$116</f>
        <v># Acciones</v>
      </c>
      <c r="G44" s="222"/>
      <c r="H44" s="246" t="str">
        <f>Data!$K$4</f>
        <v>Atrasado</v>
      </c>
      <c r="I44" s="246"/>
      <c r="J44" s="522" t="str">
        <f>Lan!$F$118</f>
        <v>Progreso</v>
      </c>
      <c r="K44" s="522"/>
      <c r="L44" s="224"/>
      <c r="M44" s="227" t="str">
        <f>'KPI1'!$B$11</f>
        <v>Objetivos</v>
      </c>
      <c r="N44" s="222" t="str">
        <f>Data!$K$5</f>
        <v>No iniciado</v>
      </c>
      <c r="O44" s="222" t="str">
        <f>Data!$K$3</f>
        <v>En progreso</v>
      </c>
      <c r="P44" s="222" t="str">
        <f>Data!$K$2</f>
        <v>Concluido</v>
      </c>
      <c r="Q44" s="222" t="str">
        <f>Lan!$F$116</f>
        <v># Acciones</v>
      </c>
      <c r="R44" s="222"/>
      <c r="S44" s="246" t="str">
        <f>Data!$K$4</f>
        <v>Atrasado</v>
      </c>
      <c r="T44" s="246"/>
      <c r="U44" s="522" t="str">
        <f>Lan!$F$118</f>
        <v>Progreso</v>
      </c>
      <c r="V44" s="522"/>
      <c r="W44" s="224"/>
      <c r="X44" s="389"/>
      <c r="Y44" s="389"/>
      <c r="Z44" s="389"/>
      <c r="AA44" s="389"/>
      <c r="AB44" s="389"/>
      <c r="AC44" s="389"/>
      <c r="AD44" s="389"/>
      <c r="AE44" s="389"/>
      <c r="AF44" s="389"/>
      <c r="AG44" s="389"/>
      <c r="AH44" s="389"/>
      <c r="AI44" s="389"/>
      <c r="AJ44" s="389"/>
      <c r="AK44" s="389"/>
      <c r="AL44" s="389"/>
      <c r="AM44" s="389"/>
      <c r="AN44" s="389"/>
    </row>
    <row r="45" spans="1:40" ht="27" customHeight="1">
      <c r="A45" s="106"/>
      <c r="B45" s="234" t="str">
        <f>IF(AuxPlan!$C44="","",AuxPlan!$C44)</f>
        <v>Lanzar una tienda en línea funcional antes de marzo de 2026.</v>
      </c>
      <c r="C45" s="132">
        <f>IF($B45="","",AuxPlan!F44)</f>
        <v>0</v>
      </c>
      <c r="D45" s="132">
        <f>IF(B45="","",AuxPlan!G44)</f>
        <v>0</v>
      </c>
      <c r="E45" s="132">
        <f>IF(B45="","",AuxPlan!H44)</f>
        <v>0</v>
      </c>
      <c r="F45" s="135">
        <f>IF(B45="","",AuxPlan!E44)</f>
        <v>0</v>
      </c>
      <c r="G45" s="134"/>
      <c r="H45" s="132">
        <f ca="1">IF($B45="","",AuxPlan!I44)</f>
        <v>0</v>
      </c>
      <c r="I45" s="121"/>
      <c r="J45" s="122" t="str">
        <f ca="1">IF($B45="","",AuxPlan!J44)</f>
        <v/>
      </c>
      <c r="K45" s="123" t="str">
        <f>IF($B45="","",IF(AuxPlan!K44=0,"","●"))</f>
        <v/>
      </c>
      <c r="L45" s="108">
        <f>IF(B45="","",AuxR!$J60)</f>
        <v>1</v>
      </c>
      <c r="M45" s="234" t="str">
        <f>IF(AuxPlan!$C54="","",AuxPlan!$C54)</f>
        <v>Implementar un plan anual de capacitación para todos los colaboradores antes de enero de 2026.</v>
      </c>
      <c r="N45" s="132">
        <f>IF($M45="","",AuxPlan!F54)</f>
        <v>0</v>
      </c>
      <c r="O45" s="132">
        <f>IF(M45="","",AuxPlan!G54)</f>
        <v>0</v>
      </c>
      <c r="P45" s="132">
        <f>IF(M45="","",AuxPlan!H54)</f>
        <v>0</v>
      </c>
      <c r="Q45" s="133">
        <f>IF(M45="","",AuxPlan!E54)</f>
        <v>0</v>
      </c>
      <c r="R45" s="134"/>
      <c r="S45" s="132">
        <f ca="1">IF($B45="","",AuxPlan!I54)</f>
        <v>0</v>
      </c>
      <c r="T45" s="121"/>
      <c r="U45" s="122" t="str">
        <f ca="1">IF($B45="","",AuxPlan!J54)</f>
        <v/>
      </c>
      <c r="V45" s="123" t="str">
        <f>IF($B45="","",IF(AuxPlan!K54=0,"","●"))</f>
        <v/>
      </c>
      <c r="W45" s="108">
        <f>IF(M45="","",AuxR!$J70)</f>
        <v>1</v>
      </c>
      <c r="X45" s="106"/>
      <c r="Y45" s="106"/>
      <c r="Z45" s="106"/>
      <c r="AA45" s="106"/>
      <c r="AB45" s="106"/>
      <c r="AC45" s="106"/>
      <c r="AD45" s="106"/>
      <c r="AE45" s="106"/>
      <c r="AF45" s="106"/>
      <c r="AG45" s="106"/>
      <c r="AH45" s="106"/>
      <c r="AI45" s="106"/>
      <c r="AJ45" s="106"/>
      <c r="AK45" s="106"/>
      <c r="AL45" s="106"/>
      <c r="AM45" s="106"/>
      <c r="AN45" s="106"/>
    </row>
    <row r="46" spans="1:40" ht="27" customHeight="1">
      <c r="A46" s="106"/>
      <c r="B46" s="234" t="str">
        <f>IF(AuxPlan!$C45="","",AuxPlan!$C45)</f>
        <v>Generar $1,000,000 MXN en ventas digitales acumuladas para diciembre de 2026.</v>
      </c>
      <c r="C46" s="132">
        <f>IF($B46="","",AuxPlan!F45)</f>
        <v>0</v>
      </c>
      <c r="D46" s="132">
        <f>IF(B46="","",AuxPlan!G45)</f>
        <v>0</v>
      </c>
      <c r="E46" s="132">
        <f>IF(B46="","",AuxPlan!H45)</f>
        <v>0</v>
      </c>
      <c r="F46" s="135">
        <f>IF(B46="","",AuxPlan!E45)</f>
        <v>0</v>
      </c>
      <c r="G46" s="134"/>
      <c r="H46" s="132">
        <f ca="1">IF($B46="","",AuxPlan!I45)</f>
        <v>0</v>
      </c>
      <c r="I46" s="121"/>
      <c r="J46" s="122" t="str">
        <f ca="1">IF($B46="","",AuxPlan!J45)</f>
        <v/>
      </c>
      <c r="K46" s="123" t="str">
        <f>IF($B46="","",IF(AuxPlan!K45=0,"","●"))</f>
        <v/>
      </c>
      <c r="L46" s="108">
        <f>IF(B46="","",AuxR!$J61)</f>
        <v>0</v>
      </c>
      <c r="M46" s="234" t="str">
        <f>IF(AuxPlan!$C55="","",AuxPlan!$C55)</f>
        <v>Lograr que el 80% del personal operativo participe en al menos una capacitación al año.</v>
      </c>
      <c r="N46" s="132">
        <f>IF($M46="","",AuxPlan!F55)</f>
        <v>0</v>
      </c>
      <c r="O46" s="132">
        <f>IF(M46="","",AuxPlan!G55)</f>
        <v>0</v>
      </c>
      <c r="P46" s="132">
        <f>IF(M46="","",AuxPlan!H55)</f>
        <v>0</v>
      </c>
      <c r="Q46" s="133">
        <f>IF(M46="","",AuxPlan!E55)</f>
        <v>0</v>
      </c>
      <c r="R46" s="134"/>
      <c r="S46" s="132">
        <f ca="1">IF($B46="","",AuxPlan!I55)</f>
        <v>0</v>
      </c>
      <c r="T46" s="121"/>
      <c r="U46" s="122" t="str">
        <f ca="1">IF($B46="","",AuxPlan!J55)</f>
        <v/>
      </c>
      <c r="V46" s="123" t="str">
        <f>IF($B46="","",IF(AuxPlan!K55=0,"","●"))</f>
        <v/>
      </c>
      <c r="W46" s="108">
        <f>IF(M46="","",AuxR!$J71)</f>
        <v>1</v>
      </c>
      <c r="X46" s="106"/>
      <c r="Y46" s="106"/>
      <c r="Z46" s="106"/>
      <c r="AA46" s="106"/>
      <c r="AB46" s="106"/>
      <c r="AC46" s="106"/>
      <c r="AD46" s="106"/>
      <c r="AE46" s="106"/>
      <c r="AF46" s="106"/>
      <c r="AG46" s="106"/>
      <c r="AH46" s="106"/>
      <c r="AI46" s="106"/>
      <c r="AJ46" s="106"/>
      <c r="AK46" s="106"/>
      <c r="AL46" s="106"/>
      <c r="AM46" s="106"/>
      <c r="AN46" s="106"/>
    </row>
    <row r="47" spans="1:40" ht="27" customHeight="1">
      <c r="A47" s="106"/>
      <c r="B47" s="234">
        <f>IF(AuxPlan!$C46="","",AuxPlan!$C46)</f>
        <v>0</v>
      </c>
      <c r="C47" s="132">
        <f>IF($B47="","",AuxPlan!F46)</f>
        <v>0</v>
      </c>
      <c r="D47" s="132">
        <f>IF(B47="","",AuxPlan!G46)</f>
        <v>0</v>
      </c>
      <c r="E47" s="132">
        <f>IF(B47="","",AuxPlan!H46)</f>
        <v>0</v>
      </c>
      <c r="F47" s="135">
        <f>IF(B47="","",AuxPlan!E46)</f>
        <v>0</v>
      </c>
      <c r="G47" s="134"/>
      <c r="H47" s="132">
        <f ca="1">IF($B47="","",AuxPlan!I46)</f>
        <v>0</v>
      </c>
      <c r="I47" s="121"/>
      <c r="J47" s="122" t="str">
        <f ca="1">IF($B47="","",AuxPlan!J46)</f>
        <v/>
      </c>
      <c r="K47" s="123" t="str">
        <f>IF($B47="","",IF(AuxPlan!K46=0,"","●"))</f>
        <v/>
      </c>
      <c r="L47" s="108">
        <f>IF(B47="","",AuxR!$J62)</f>
        <v>0</v>
      </c>
      <c r="M47" s="234">
        <f>IF(AuxPlan!$C56="","",AuxPlan!$C56)</f>
        <v>0</v>
      </c>
      <c r="N47" s="132">
        <f>IF($M47="","",AuxPlan!F56)</f>
        <v>0</v>
      </c>
      <c r="O47" s="132">
        <f>IF(M47="","",AuxPlan!G56)</f>
        <v>0</v>
      </c>
      <c r="P47" s="132">
        <f>IF(M47="","",AuxPlan!H56)</f>
        <v>0</v>
      </c>
      <c r="Q47" s="133">
        <f>IF(M47="","",AuxPlan!E56)</f>
        <v>0</v>
      </c>
      <c r="R47" s="134"/>
      <c r="S47" s="132">
        <f ca="1">IF($B47="","",AuxPlan!I56)</f>
        <v>0</v>
      </c>
      <c r="T47" s="121"/>
      <c r="U47" s="122" t="str">
        <f ca="1">IF($B47="","",AuxPlan!J56)</f>
        <v/>
      </c>
      <c r="V47" s="123" t="str">
        <f>IF($B47="","",IF(AuxPlan!K56=0,"","●"))</f>
        <v/>
      </c>
      <c r="W47" s="108">
        <f>IF(M47="","",AuxR!$J72)</f>
        <v>0</v>
      </c>
      <c r="X47" s="106"/>
      <c r="Y47" s="106"/>
      <c r="Z47" s="106"/>
      <c r="AA47" s="106"/>
      <c r="AB47" s="106"/>
      <c r="AC47" s="106"/>
      <c r="AD47" s="106"/>
      <c r="AE47" s="106"/>
      <c r="AF47" s="106"/>
      <c r="AG47" s="106"/>
      <c r="AH47" s="106"/>
      <c r="AI47" s="106"/>
      <c r="AJ47" s="106"/>
      <c r="AK47" s="106"/>
      <c r="AL47" s="106"/>
      <c r="AM47" s="106"/>
      <c r="AN47" s="106"/>
    </row>
    <row r="48" spans="1:40" ht="27" customHeight="1">
      <c r="A48" s="106"/>
      <c r="B48" s="234" t="str">
        <f>IF(AuxPlan!$C47="","",AuxPlan!$C47)</f>
        <v/>
      </c>
      <c r="C48" s="132" t="str">
        <f>IF($B48="","",AuxPlan!F47)</f>
        <v/>
      </c>
      <c r="D48" s="132" t="str">
        <f>IF(B48="","",AuxPlan!G47)</f>
        <v/>
      </c>
      <c r="E48" s="132" t="str">
        <f>IF(B48="","",AuxPlan!H47)</f>
        <v/>
      </c>
      <c r="F48" s="135" t="str">
        <f>IF(B48="","",AuxPlan!E47)</f>
        <v/>
      </c>
      <c r="G48" s="134"/>
      <c r="H48" s="132" t="str">
        <f>IF($B48="","",AuxPlan!I47)</f>
        <v/>
      </c>
      <c r="I48" s="121"/>
      <c r="J48" s="122" t="str">
        <f>IF($B48="","",AuxPlan!J47)</f>
        <v/>
      </c>
      <c r="K48" s="123" t="str">
        <f>IF($B48="","",IF(AuxPlan!K47=0,"","●"))</f>
        <v/>
      </c>
      <c r="L48" s="108" t="str">
        <f>IF(B48="","",AuxR!$J63)</f>
        <v/>
      </c>
      <c r="M48" s="234" t="str">
        <f>IF(AuxPlan!$C57="","",AuxPlan!$C57)</f>
        <v/>
      </c>
      <c r="N48" s="132" t="str">
        <f>IF($M48="","",AuxPlan!F57)</f>
        <v/>
      </c>
      <c r="O48" s="132" t="str">
        <f>IF(M48="","",AuxPlan!G57)</f>
        <v/>
      </c>
      <c r="P48" s="132" t="str">
        <f>IF(M48="","",AuxPlan!H57)</f>
        <v/>
      </c>
      <c r="Q48" s="133" t="str">
        <f>IF(M48="","",AuxPlan!E57)</f>
        <v/>
      </c>
      <c r="R48" s="134"/>
      <c r="S48" s="132" t="str">
        <f>IF($B48="","",AuxPlan!I57)</f>
        <v/>
      </c>
      <c r="T48" s="121"/>
      <c r="U48" s="122" t="str">
        <f>IF($B48="","",AuxPlan!J57)</f>
        <v/>
      </c>
      <c r="V48" s="123" t="str">
        <f>IF($B48="","",IF(AuxPlan!K57=0,"","●"))</f>
        <v/>
      </c>
      <c r="W48" s="108" t="str">
        <f>IF(M48="","",AuxR!$J73)</f>
        <v/>
      </c>
      <c r="X48" s="106"/>
      <c r="Y48" s="106"/>
      <c r="Z48" s="106"/>
      <c r="AA48" s="106"/>
      <c r="AB48" s="106"/>
      <c r="AC48" s="106"/>
      <c r="AD48" s="106"/>
      <c r="AE48" s="106"/>
      <c r="AF48" s="106"/>
      <c r="AG48" s="106"/>
      <c r="AH48" s="106"/>
      <c r="AI48" s="106"/>
      <c r="AJ48" s="106"/>
      <c r="AK48" s="106"/>
      <c r="AL48" s="106"/>
      <c r="AM48" s="106"/>
      <c r="AN48" s="106"/>
    </row>
    <row r="49" spans="1:40" ht="27" customHeight="1">
      <c r="A49" s="106"/>
      <c r="B49" s="234" t="str">
        <f>IF(AuxPlan!$C48="","",AuxPlan!$C48)</f>
        <v/>
      </c>
      <c r="C49" s="132" t="str">
        <f>IF($B49="","",AuxPlan!F48)</f>
        <v/>
      </c>
      <c r="D49" s="132" t="str">
        <f>IF(B49="","",AuxPlan!G48)</f>
        <v/>
      </c>
      <c r="E49" s="132" t="str">
        <f>IF(B49="","",AuxPlan!H48)</f>
        <v/>
      </c>
      <c r="F49" s="135" t="str">
        <f>IF(B49="","",AuxPlan!E48)</f>
        <v/>
      </c>
      <c r="G49" s="134"/>
      <c r="H49" s="132" t="str">
        <f>IF($B49="","",AuxPlan!I48)</f>
        <v/>
      </c>
      <c r="I49" s="121"/>
      <c r="J49" s="122" t="str">
        <f>IF($B49="","",AuxPlan!J48)</f>
        <v/>
      </c>
      <c r="K49" s="123" t="str">
        <f>IF($B49="","",IF(AuxPlan!K48=0,"","●"))</f>
        <v/>
      </c>
      <c r="L49" s="108" t="str">
        <f>IF(B49="","",AuxR!$J64)</f>
        <v/>
      </c>
      <c r="M49" s="234" t="str">
        <f>IF(AuxPlan!$C58="","",AuxPlan!$C58)</f>
        <v/>
      </c>
      <c r="N49" s="132" t="str">
        <f>IF($M49="","",AuxPlan!F58)</f>
        <v/>
      </c>
      <c r="O49" s="132" t="str">
        <f>IF(M49="","",AuxPlan!G58)</f>
        <v/>
      </c>
      <c r="P49" s="132" t="str">
        <f>IF(M49="","",AuxPlan!H58)</f>
        <v/>
      </c>
      <c r="Q49" s="133" t="str">
        <f>IF(M49="","",AuxPlan!E58)</f>
        <v/>
      </c>
      <c r="R49" s="134"/>
      <c r="S49" s="132" t="str">
        <f>IF($B49="","",AuxPlan!I58)</f>
        <v/>
      </c>
      <c r="T49" s="121"/>
      <c r="U49" s="122" t="str">
        <f>IF($B49="","",AuxPlan!J58)</f>
        <v/>
      </c>
      <c r="V49" s="123" t="str">
        <f>IF($B49="","",IF(AuxPlan!K58=0,"","●"))</f>
        <v/>
      </c>
      <c r="W49" s="108" t="str">
        <f>IF(M49="","",AuxR!$J74)</f>
        <v/>
      </c>
      <c r="X49" s="106"/>
      <c r="Y49" s="106"/>
      <c r="Z49" s="106"/>
      <c r="AA49" s="106"/>
      <c r="AB49" s="106"/>
      <c r="AC49" s="106"/>
      <c r="AD49" s="106"/>
      <c r="AE49" s="106"/>
      <c r="AF49" s="106"/>
      <c r="AG49" s="106"/>
      <c r="AH49" s="106"/>
      <c r="AI49" s="106"/>
      <c r="AJ49" s="106"/>
      <c r="AK49" s="106"/>
      <c r="AL49" s="106"/>
      <c r="AM49" s="106"/>
      <c r="AN49" s="106"/>
    </row>
    <row r="50" spans="1:40" ht="27" customHeight="1">
      <c r="A50" s="106"/>
      <c r="B50" s="234" t="str">
        <f>IF(AuxPlan!$C49="","",AuxPlan!$C49)</f>
        <v/>
      </c>
      <c r="C50" s="132" t="str">
        <f>IF($B50="","",AuxPlan!F49)</f>
        <v/>
      </c>
      <c r="D50" s="132" t="str">
        <f>IF(B50="","",AuxPlan!G49)</f>
        <v/>
      </c>
      <c r="E50" s="132" t="str">
        <f>IF(B50="","",AuxPlan!H49)</f>
        <v/>
      </c>
      <c r="F50" s="135" t="str">
        <f>IF(B50="","",AuxPlan!E49)</f>
        <v/>
      </c>
      <c r="G50" s="134"/>
      <c r="H50" s="132" t="str">
        <f>IF($B50="","",AuxPlan!I49)</f>
        <v/>
      </c>
      <c r="I50" s="121"/>
      <c r="J50" s="122" t="str">
        <f>IF($B50="","",AuxPlan!J49)</f>
        <v/>
      </c>
      <c r="K50" s="123" t="str">
        <f>IF($B50="","",IF(AuxPlan!K49=0,"","●"))</f>
        <v/>
      </c>
      <c r="L50" s="108" t="str">
        <f>IF(B50="","",AuxR!$J65)</f>
        <v/>
      </c>
      <c r="M50" s="234" t="str">
        <f>IF(AuxPlan!$C59="","",AuxPlan!$C59)</f>
        <v/>
      </c>
      <c r="N50" s="132" t="str">
        <f>IF($M50="","",AuxPlan!F59)</f>
        <v/>
      </c>
      <c r="O50" s="132" t="str">
        <f>IF(M50="","",AuxPlan!G59)</f>
        <v/>
      </c>
      <c r="P50" s="132" t="str">
        <f>IF(M50="","",AuxPlan!H59)</f>
        <v/>
      </c>
      <c r="Q50" s="133" t="str">
        <f>IF(M50="","",AuxPlan!E59)</f>
        <v/>
      </c>
      <c r="R50" s="134"/>
      <c r="S50" s="132" t="str">
        <f>IF($B50="","",AuxPlan!I59)</f>
        <v/>
      </c>
      <c r="T50" s="121"/>
      <c r="U50" s="122" t="str">
        <f>IF($B50="","",AuxPlan!J59)</f>
        <v/>
      </c>
      <c r="V50" s="123" t="str">
        <f>IF($B50="","",IF(AuxPlan!K59=0,"","●"))</f>
        <v/>
      </c>
      <c r="W50" s="108" t="str">
        <f>IF(M50="","",AuxR!$J75)</f>
        <v/>
      </c>
      <c r="X50" s="106"/>
      <c r="Y50" s="106"/>
      <c r="Z50" s="106"/>
      <c r="AA50" s="106"/>
      <c r="AB50" s="106"/>
      <c r="AC50" s="106"/>
      <c r="AD50" s="106"/>
      <c r="AE50" s="106"/>
      <c r="AF50" s="106"/>
      <c r="AG50" s="106"/>
      <c r="AH50" s="106"/>
      <c r="AI50" s="106"/>
      <c r="AJ50" s="106"/>
      <c r="AK50" s="106"/>
      <c r="AL50" s="106"/>
      <c r="AM50" s="106"/>
      <c r="AN50" s="106"/>
    </row>
    <row r="51" spans="1:40" ht="27" customHeight="1">
      <c r="A51" s="106"/>
      <c r="B51" s="234" t="str">
        <f>IF(AuxPlan!$C50="","",AuxPlan!$C50)</f>
        <v/>
      </c>
      <c r="C51" s="132" t="str">
        <f>IF($B51="","",AuxPlan!F50)</f>
        <v/>
      </c>
      <c r="D51" s="132" t="str">
        <f>IF(B51="","",AuxPlan!G50)</f>
        <v/>
      </c>
      <c r="E51" s="132" t="str">
        <f>IF(B51="","",AuxPlan!H50)</f>
        <v/>
      </c>
      <c r="F51" s="135" t="str">
        <f>IF(B51="","",AuxPlan!E50)</f>
        <v/>
      </c>
      <c r="G51" s="134"/>
      <c r="H51" s="132" t="str">
        <f>IF($B51="","",AuxPlan!I50)</f>
        <v/>
      </c>
      <c r="I51" s="121"/>
      <c r="J51" s="122" t="str">
        <f>IF($B51="","",AuxPlan!J50)</f>
        <v/>
      </c>
      <c r="K51" s="123" t="str">
        <f>IF($B51="","",IF(AuxPlan!K50=0,"","●"))</f>
        <v/>
      </c>
      <c r="L51" s="108" t="str">
        <f>IF(B51="","",AuxR!$J66)</f>
        <v/>
      </c>
      <c r="M51" s="234" t="str">
        <f>IF(AuxPlan!$C60="","",AuxPlan!$C60)</f>
        <v/>
      </c>
      <c r="N51" s="132" t="str">
        <f>IF($M51="","",AuxPlan!F60)</f>
        <v/>
      </c>
      <c r="O51" s="132" t="str">
        <f>IF(M51="","",AuxPlan!G60)</f>
        <v/>
      </c>
      <c r="P51" s="132" t="str">
        <f>IF(M51="","",AuxPlan!H60)</f>
        <v/>
      </c>
      <c r="Q51" s="133" t="str">
        <f>IF(M51="","",AuxPlan!E60)</f>
        <v/>
      </c>
      <c r="R51" s="134"/>
      <c r="S51" s="132" t="str">
        <f>IF($B51="","",AuxPlan!I60)</f>
        <v/>
      </c>
      <c r="T51" s="121"/>
      <c r="U51" s="122" t="str">
        <f>IF($B51="","",AuxPlan!J60)</f>
        <v/>
      </c>
      <c r="V51" s="123" t="str">
        <f>IF($B51="","",IF(AuxPlan!K60=0,"","●"))</f>
        <v/>
      </c>
      <c r="W51" s="108" t="str">
        <f>IF(M51="","",AuxR!$J76)</f>
        <v/>
      </c>
      <c r="X51" s="106"/>
      <c r="Y51" s="106"/>
      <c r="Z51" s="106"/>
      <c r="AA51" s="106"/>
      <c r="AB51" s="106"/>
      <c r="AC51" s="106"/>
      <c r="AD51" s="106"/>
      <c r="AE51" s="106"/>
      <c r="AF51" s="106"/>
      <c r="AG51" s="106"/>
      <c r="AH51" s="106"/>
      <c r="AI51" s="106"/>
      <c r="AJ51" s="106"/>
      <c r="AK51" s="106"/>
      <c r="AL51" s="106"/>
      <c r="AM51" s="106"/>
      <c r="AN51" s="106"/>
    </row>
    <row r="52" spans="1:40" ht="27" customHeight="1">
      <c r="A52" s="106"/>
      <c r="B52" s="234" t="str">
        <f>IF(AuxPlan!$C51="","",AuxPlan!$C51)</f>
        <v/>
      </c>
      <c r="C52" s="132" t="str">
        <f>IF($B52="","",AuxPlan!F51)</f>
        <v/>
      </c>
      <c r="D52" s="132" t="str">
        <f>IF(B52="","",AuxPlan!G51)</f>
        <v/>
      </c>
      <c r="E52" s="132" t="str">
        <f>IF(B52="","",AuxPlan!H51)</f>
        <v/>
      </c>
      <c r="F52" s="135" t="str">
        <f>IF(B52="","",AuxPlan!E51)</f>
        <v/>
      </c>
      <c r="G52" s="134"/>
      <c r="H52" s="132" t="str">
        <f>IF($B52="","",AuxPlan!I51)</f>
        <v/>
      </c>
      <c r="I52" s="121"/>
      <c r="J52" s="122" t="str">
        <f>IF($B52="","",AuxPlan!J51)</f>
        <v/>
      </c>
      <c r="K52" s="123" t="str">
        <f>IF($B52="","",IF(AuxPlan!K51=0,"","●"))</f>
        <v/>
      </c>
      <c r="L52" s="108" t="str">
        <f>IF(B52="","",AuxR!$J67)</f>
        <v/>
      </c>
      <c r="M52" s="234" t="str">
        <f>IF(AuxPlan!$C61="","",AuxPlan!$C61)</f>
        <v/>
      </c>
      <c r="N52" s="132" t="str">
        <f>IF($M52="","",AuxPlan!F61)</f>
        <v/>
      </c>
      <c r="O52" s="132" t="str">
        <f>IF(M52="","",AuxPlan!G61)</f>
        <v/>
      </c>
      <c r="P52" s="132" t="str">
        <f>IF(M52="","",AuxPlan!H61)</f>
        <v/>
      </c>
      <c r="Q52" s="133" t="str">
        <f>IF(M52="","",AuxPlan!E61)</f>
        <v/>
      </c>
      <c r="R52" s="134"/>
      <c r="S52" s="132" t="str">
        <f>IF($B52="","",AuxPlan!I61)</f>
        <v/>
      </c>
      <c r="T52" s="121"/>
      <c r="U52" s="122" t="str">
        <f>IF($B52="","",AuxPlan!J61)</f>
        <v/>
      </c>
      <c r="V52" s="123" t="str">
        <f>IF($B52="","",IF(AuxPlan!K61=0,"","●"))</f>
        <v/>
      </c>
      <c r="W52" s="108" t="str">
        <f>IF(M52="","",AuxR!$J77)</f>
        <v/>
      </c>
      <c r="X52" s="106"/>
      <c r="Y52" s="106"/>
      <c r="Z52" s="106"/>
      <c r="AA52" s="106"/>
      <c r="AB52" s="106"/>
      <c r="AC52" s="106"/>
      <c r="AD52" s="106"/>
      <c r="AE52" s="106"/>
      <c r="AF52" s="106"/>
      <c r="AG52" s="106"/>
      <c r="AH52" s="106"/>
      <c r="AI52" s="106"/>
      <c r="AJ52" s="106"/>
      <c r="AK52" s="106"/>
      <c r="AL52" s="106"/>
      <c r="AM52" s="106"/>
      <c r="AN52" s="106"/>
    </row>
    <row r="53" spans="1:40" ht="27" customHeight="1">
      <c r="A53" s="106"/>
      <c r="B53" s="234" t="str">
        <f>IF(AuxPlan!$C52="","",AuxPlan!$C52)</f>
        <v/>
      </c>
      <c r="C53" s="132" t="str">
        <f>IF($B53="","",AuxPlan!F52)</f>
        <v/>
      </c>
      <c r="D53" s="132" t="str">
        <f>IF(B53="","",AuxPlan!G52)</f>
        <v/>
      </c>
      <c r="E53" s="132" t="str">
        <f>IF(B53="","",AuxPlan!H52)</f>
        <v/>
      </c>
      <c r="F53" s="135" t="str">
        <f>IF(B53="","",AuxPlan!E52)</f>
        <v/>
      </c>
      <c r="G53" s="134"/>
      <c r="H53" s="132" t="str">
        <f>IF($B53="","",AuxPlan!I52)</f>
        <v/>
      </c>
      <c r="I53" s="121"/>
      <c r="J53" s="122" t="str">
        <f>IF($B53="","",AuxPlan!J52)</f>
        <v/>
      </c>
      <c r="K53" s="123" t="str">
        <f>IF($B53="","",IF(AuxPlan!K52=0,"","●"))</f>
        <v/>
      </c>
      <c r="L53" s="108" t="str">
        <f>IF(B53="","",AuxR!$J68)</f>
        <v/>
      </c>
      <c r="M53" s="234" t="str">
        <f>IF(AuxPlan!$C62="","",AuxPlan!$C62)</f>
        <v/>
      </c>
      <c r="N53" s="132" t="str">
        <f>IF($M53="","",AuxPlan!F62)</f>
        <v/>
      </c>
      <c r="O53" s="132" t="str">
        <f>IF(M53="","",AuxPlan!G62)</f>
        <v/>
      </c>
      <c r="P53" s="132" t="str">
        <f>IF(M53="","",AuxPlan!H62)</f>
        <v/>
      </c>
      <c r="Q53" s="133" t="str">
        <f>IF(M53="","",AuxPlan!E62)</f>
        <v/>
      </c>
      <c r="R53" s="134"/>
      <c r="S53" s="132" t="str">
        <f>IF($B53="","",AuxPlan!I62)</f>
        <v/>
      </c>
      <c r="T53" s="121"/>
      <c r="U53" s="122" t="str">
        <f>IF($B53="","",AuxPlan!J62)</f>
        <v/>
      </c>
      <c r="V53" s="123" t="str">
        <f>IF($B53="","",IF(AuxPlan!K62=0,"","●"))</f>
        <v/>
      </c>
      <c r="W53" s="108" t="str">
        <f>IF(M53="","",AuxR!$J78)</f>
        <v/>
      </c>
      <c r="X53" s="106"/>
      <c r="Y53" s="106"/>
      <c r="Z53" s="106"/>
      <c r="AA53" s="106"/>
      <c r="AB53" s="106"/>
      <c r="AC53" s="106"/>
      <c r="AD53" s="106"/>
      <c r="AE53" s="106"/>
      <c r="AF53" s="106"/>
      <c r="AG53" s="106"/>
      <c r="AH53" s="106"/>
      <c r="AI53" s="106"/>
      <c r="AJ53" s="106"/>
      <c r="AK53" s="106"/>
      <c r="AL53" s="106"/>
      <c r="AM53" s="106"/>
      <c r="AN53" s="106"/>
    </row>
    <row r="54" spans="1:40" ht="27" customHeight="1">
      <c r="A54" s="106"/>
      <c r="B54" s="234" t="str">
        <f>IF(AuxPlan!$C53="","",AuxPlan!$C53)</f>
        <v/>
      </c>
      <c r="C54" s="132" t="str">
        <f>IF($B54="","",AuxPlan!F53)</f>
        <v/>
      </c>
      <c r="D54" s="132" t="str">
        <f>IF(B54="","",AuxPlan!G53)</f>
        <v/>
      </c>
      <c r="E54" s="132" t="str">
        <f>IF(B54="","",AuxPlan!H53)</f>
        <v/>
      </c>
      <c r="F54" s="135" t="str">
        <f>IF(B54="","",AuxPlan!E53)</f>
        <v/>
      </c>
      <c r="G54" s="134"/>
      <c r="H54" s="132" t="str">
        <f>IF($B54="","",AuxPlan!I53)</f>
        <v/>
      </c>
      <c r="I54" s="121"/>
      <c r="J54" s="122" t="str">
        <f>IF($B54="","",AuxPlan!J53)</f>
        <v/>
      </c>
      <c r="K54" s="123" t="str">
        <f>IF($B54="","",IF(AuxPlan!K53=0,"","●"))</f>
        <v/>
      </c>
      <c r="L54" s="108" t="str">
        <f>IF(B54="","",AuxR!$J69)</f>
        <v/>
      </c>
      <c r="M54" s="234" t="str">
        <f>IF(AuxPlan!$C63="","",AuxPlan!$C63)</f>
        <v/>
      </c>
      <c r="N54" s="132" t="str">
        <f>IF($M54="","",AuxPlan!F63)</f>
        <v/>
      </c>
      <c r="O54" s="132" t="str">
        <f>IF(M54="","",AuxPlan!G63)</f>
        <v/>
      </c>
      <c r="P54" s="132" t="str">
        <f>IF(M54="","",AuxPlan!H63)</f>
        <v/>
      </c>
      <c r="Q54" s="133" t="str">
        <f>IF(M54="","",AuxPlan!E63)</f>
        <v/>
      </c>
      <c r="R54" s="134"/>
      <c r="S54" s="132" t="str">
        <f>IF($B54="","",AuxPlan!I63)</f>
        <v/>
      </c>
      <c r="T54" s="121"/>
      <c r="U54" s="122" t="str">
        <f>IF($B54="","",AuxPlan!J63)</f>
        <v/>
      </c>
      <c r="V54" s="123" t="str">
        <f>IF($B54="","",IF(AuxPlan!K63=0,"","●"))</f>
        <v/>
      </c>
      <c r="W54" s="108" t="str">
        <f>IF(M54="","",AuxR!$J79)</f>
        <v/>
      </c>
      <c r="X54" s="106"/>
      <c r="Y54" s="106"/>
      <c r="Z54" s="106"/>
      <c r="AA54" s="106"/>
      <c r="AB54" s="106"/>
      <c r="AC54" s="106"/>
      <c r="AD54" s="106"/>
      <c r="AE54" s="106"/>
      <c r="AF54" s="106"/>
      <c r="AG54" s="106"/>
      <c r="AH54" s="106"/>
      <c r="AI54" s="106"/>
      <c r="AJ54" s="106"/>
      <c r="AK54" s="106"/>
      <c r="AL54" s="106"/>
      <c r="AM54" s="106"/>
      <c r="AN54" s="106"/>
    </row>
    <row r="55" spans="1:40" ht="27" customHeight="1">
      <c r="A55" s="104"/>
      <c r="B55" s="232" t="str">
        <f>PROPER(Lan!$F$61)</f>
        <v>Total</v>
      </c>
      <c r="C55" s="124">
        <f t="shared" ref="C55:H55" si="4">SUM(C45:C54)</f>
        <v>0</v>
      </c>
      <c r="D55" s="124">
        <f t="shared" si="4"/>
        <v>0</v>
      </c>
      <c r="E55" s="124">
        <f t="shared" si="4"/>
        <v>0</v>
      </c>
      <c r="F55" s="136">
        <f t="shared" si="4"/>
        <v>0</v>
      </c>
      <c r="G55" s="125">
        <f t="shared" si="4"/>
        <v>0</v>
      </c>
      <c r="H55" s="124">
        <f t="shared" ca="1" si="4"/>
        <v>0</v>
      </c>
      <c r="I55" s="126"/>
      <c r="J55" s="127">
        <f ca="1">AuxPlan!$C$70</f>
        <v>0</v>
      </c>
      <c r="K55" s="128" t="str">
        <f>IF($B55="","","●")</f>
        <v>●</v>
      </c>
      <c r="L55" s="108"/>
      <c r="M55" s="232" t="str">
        <f>PROPER(Lan!$F$61)</f>
        <v>Total</v>
      </c>
      <c r="N55" s="124">
        <f t="shared" ref="N55:S55" si="5">SUM(N45:N54)</f>
        <v>0</v>
      </c>
      <c r="O55" s="124">
        <f t="shared" si="5"/>
        <v>0</v>
      </c>
      <c r="P55" s="124">
        <f t="shared" si="5"/>
        <v>0</v>
      </c>
      <c r="Q55" s="136">
        <f t="shared" si="5"/>
        <v>0</v>
      </c>
      <c r="R55" s="125">
        <f t="shared" si="5"/>
        <v>0</v>
      </c>
      <c r="S55" s="124">
        <f t="shared" ca="1" si="5"/>
        <v>0</v>
      </c>
      <c r="T55" s="126"/>
      <c r="U55" s="127">
        <f ca="1">AuxPlan!$C$71</f>
        <v>0</v>
      </c>
      <c r="V55" s="128" t="str">
        <f>IF($M55="","","●")</f>
        <v>●</v>
      </c>
      <c r="W55" s="108"/>
      <c r="X55" s="106"/>
      <c r="Y55" s="106"/>
      <c r="Z55" s="106"/>
      <c r="AA55" s="106"/>
      <c r="AB55" s="106"/>
      <c r="AC55" s="106"/>
      <c r="AD55" s="106"/>
      <c r="AE55" s="106"/>
      <c r="AF55" s="106"/>
      <c r="AG55" s="106"/>
      <c r="AH55" s="106"/>
      <c r="AI55" s="106"/>
      <c r="AJ55" s="106"/>
      <c r="AK55" s="106"/>
      <c r="AL55" s="106"/>
      <c r="AM55" s="106"/>
      <c r="AN55" s="106"/>
    </row>
    <row r="56" spans="1:40" ht="20" customHeight="1">
      <c r="A56" s="104"/>
      <c r="B56" s="226"/>
      <c r="C56" s="104"/>
      <c r="D56" s="104"/>
      <c r="E56" s="104"/>
      <c r="F56" s="104"/>
      <c r="G56" s="104"/>
      <c r="H56" s="104"/>
      <c r="I56" s="104"/>
      <c r="J56" s="104"/>
      <c r="K56" s="104"/>
      <c r="L56" s="108"/>
      <c r="M56" s="226"/>
      <c r="N56" s="104"/>
      <c r="O56" s="104"/>
      <c r="P56" s="104"/>
      <c r="Q56" s="104"/>
      <c r="R56" s="104"/>
      <c r="S56" s="104"/>
      <c r="T56" s="104"/>
      <c r="U56" s="104"/>
      <c r="V56" s="104"/>
      <c r="W56" s="108"/>
      <c r="X56" s="106"/>
      <c r="Y56" s="106"/>
      <c r="Z56" s="106"/>
      <c r="AA56" s="106"/>
      <c r="AB56" s="106"/>
      <c r="AC56" s="106"/>
      <c r="AD56" s="106"/>
      <c r="AE56" s="106"/>
      <c r="AF56" s="106"/>
      <c r="AG56" s="106"/>
      <c r="AH56" s="106"/>
      <c r="AI56" s="106"/>
      <c r="AJ56" s="106"/>
      <c r="AK56" s="106"/>
      <c r="AL56" s="106"/>
      <c r="AM56" s="106"/>
      <c r="AN56" s="106"/>
    </row>
    <row r="57" spans="1:40" ht="20" customHeight="1">
      <c r="A57" s="104"/>
      <c r="B57" s="226"/>
      <c r="C57" s="104"/>
      <c r="D57" s="104"/>
      <c r="E57" s="104"/>
      <c r="F57" s="104"/>
      <c r="G57" s="104"/>
      <c r="H57" s="104"/>
      <c r="I57" s="104"/>
      <c r="J57" s="104"/>
      <c r="K57" s="104"/>
      <c r="L57" s="108"/>
      <c r="M57" s="226"/>
      <c r="N57" s="104"/>
      <c r="O57" s="104"/>
      <c r="P57" s="104"/>
      <c r="Q57" s="104"/>
      <c r="R57" s="104"/>
      <c r="S57" s="104"/>
      <c r="T57" s="104"/>
      <c r="U57" s="104"/>
      <c r="V57" s="104"/>
      <c r="W57" s="108"/>
      <c r="X57" s="106"/>
      <c r="Y57" s="106"/>
      <c r="Z57" s="106"/>
      <c r="AA57" s="106"/>
      <c r="AB57" s="106"/>
      <c r="AC57" s="106"/>
      <c r="AD57" s="106"/>
      <c r="AE57" s="106"/>
      <c r="AF57" s="106"/>
      <c r="AG57" s="106"/>
      <c r="AH57" s="106"/>
      <c r="AI57" s="106"/>
      <c r="AJ57" s="106"/>
      <c r="AK57" s="106"/>
      <c r="AL57" s="106"/>
      <c r="AM57" s="106"/>
      <c r="AN57" s="106"/>
    </row>
    <row r="58" spans="1:40" ht="20" customHeight="1">
      <c r="A58" s="104"/>
      <c r="B58" s="226"/>
      <c r="C58" s="104"/>
      <c r="D58" s="104"/>
      <c r="E58" s="104"/>
      <c r="F58" s="104"/>
      <c r="G58" s="104"/>
      <c r="H58" s="104"/>
      <c r="I58" s="104"/>
      <c r="J58" s="104"/>
      <c r="K58" s="104"/>
      <c r="L58" s="108"/>
      <c r="M58" s="226"/>
      <c r="N58" s="104"/>
      <c r="O58" s="104"/>
      <c r="P58" s="104"/>
      <c r="Q58" s="104"/>
      <c r="R58" s="104"/>
      <c r="S58" s="104"/>
      <c r="T58" s="104"/>
      <c r="U58" s="104"/>
      <c r="V58" s="104"/>
      <c r="W58" s="108"/>
      <c r="X58" s="106"/>
      <c r="Y58" s="106"/>
      <c r="Z58" s="106"/>
      <c r="AA58" s="106"/>
      <c r="AB58" s="106"/>
      <c r="AC58" s="106"/>
      <c r="AD58" s="106"/>
      <c r="AE58" s="106"/>
      <c r="AF58" s="106"/>
      <c r="AG58" s="106"/>
      <c r="AH58" s="106"/>
      <c r="AI58" s="106"/>
      <c r="AJ58" s="106"/>
      <c r="AK58" s="106"/>
      <c r="AL58" s="106"/>
      <c r="AM58" s="106"/>
      <c r="AN58" s="106"/>
    </row>
    <row r="59" spans="1:40" ht="20" customHeight="1">
      <c r="A59" s="104"/>
      <c r="B59" s="226"/>
      <c r="C59" s="104"/>
      <c r="D59" s="104"/>
      <c r="E59" s="104"/>
      <c r="F59" s="104"/>
      <c r="G59" s="104"/>
      <c r="H59" s="104"/>
      <c r="I59" s="104"/>
      <c r="J59" s="104"/>
      <c r="K59" s="104"/>
      <c r="L59" s="108"/>
      <c r="M59" s="226"/>
      <c r="N59" s="104"/>
      <c r="O59" s="104"/>
      <c r="P59" s="104"/>
      <c r="Q59" s="104"/>
      <c r="R59" s="104"/>
      <c r="S59" s="104"/>
      <c r="T59" s="104"/>
      <c r="U59" s="104"/>
      <c r="V59" s="104"/>
      <c r="W59" s="108"/>
      <c r="X59" s="106"/>
      <c r="Y59" s="106"/>
      <c r="Z59" s="106"/>
      <c r="AA59" s="106"/>
      <c r="AB59" s="106"/>
      <c r="AC59" s="106"/>
      <c r="AD59" s="106"/>
      <c r="AE59" s="106"/>
      <c r="AF59" s="106"/>
      <c r="AG59" s="106"/>
      <c r="AH59" s="106"/>
      <c r="AI59" s="106"/>
      <c r="AJ59" s="106"/>
      <c r="AK59" s="106"/>
      <c r="AL59" s="106"/>
      <c r="AM59" s="106"/>
      <c r="AN59" s="106"/>
    </row>
    <row r="60" spans="1:40" ht="20" customHeight="1">
      <c r="A60" s="104"/>
      <c r="B60" s="226"/>
      <c r="C60" s="104"/>
      <c r="D60" s="104"/>
      <c r="E60" s="104"/>
      <c r="F60" s="104"/>
      <c r="G60" s="104"/>
      <c r="H60" s="104"/>
      <c r="I60" s="104"/>
      <c r="J60" s="104"/>
      <c r="K60" s="104"/>
      <c r="L60" s="108"/>
      <c r="M60" s="226"/>
      <c r="N60" s="104"/>
      <c r="O60" s="104"/>
      <c r="P60" s="104"/>
      <c r="Q60" s="104"/>
      <c r="R60" s="104"/>
      <c r="S60" s="104"/>
      <c r="T60" s="104"/>
      <c r="U60" s="104"/>
      <c r="V60" s="104"/>
      <c r="W60" s="108"/>
      <c r="X60" s="106"/>
      <c r="Y60" s="106"/>
      <c r="Z60" s="106"/>
      <c r="AA60" s="106"/>
      <c r="AB60" s="106"/>
      <c r="AC60" s="106"/>
      <c r="AD60" s="106"/>
      <c r="AE60" s="106"/>
      <c r="AF60" s="106"/>
      <c r="AG60" s="106"/>
      <c r="AH60" s="106"/>
      <c r="AI60" s="106"/>
      <c r="AJ60" s="106"/>
      <c r="AK60" s="106"/>
      <c r="AL60" s="106"/>
      <c r="AM60" s="106"/>
      <c r="AN60" s="106"/>
    </row>
    <row r="61" spans="1:40" ht="20" customHeight="1">
      <c r="A61" s="104"/>
      <c r="B61" s="226"/>
      <c r="C61" s="104"/>
      <c r="D61" s="104"/>
      <c r="E61" s="104"/>
      <c r="F61" s="104"/>
      <c r="G61" s="104"/>
      <c r="H61" s="104"/>
      <c r="I61" s="104"/>
      <c r="J61" s="104"/>
      <c r="K61" s="104"/>
      <c r="L61" s="108"/>
      <c r="M61" s="226"/>
      <c r="N61" s="104"/>
      <c r="O61" s="104"/>
      <c r="P61" s="104"/>
      <c r="Q61" s="104"/>
      <c r="R61" s="104"/>
      <c r="S61" s="104"/>
      <c r="T61" s="104"/>
      <c r="U61" s="104"/>
      <c r="V61" s="104"/>
      <c r="W61" s="108"/>
      <c r="X61" s="106"/>
      <c r="Y61" s="106"/>
      <c r="Z61" s="106"/>
      <c r="AA61" s="106"/>
      <c r="AB61" s="106"/>
      <c r="AC61" s="106"/>
      <c r="AD61" s="106"/>
      <c r="AE61" s="106"/>
      <c r="AF61" s="106"/>
      <c r="AG61" s="106"/>
      <c r="AH61" s="106"/>
      <c r="AI61" s="106"/>
      <c r="AJ61" s="106"/>
      <c r="AK61" s="106"/>
      <c r="AL61" s="106"/>
      <c r="AM61" s="106"/>
      <c r="AN61" s="106"/>
    </row>
    <row r="62" spans="1:40" ht="20" customHeight="1">
      <c r="A62" s="104"/>
      <c r="B62" s="226"/>
      <c r="C62" s="104"/>
      <c r="D62" s="104"/>
      <c r="E62" s="104"/>
      <c r="F62" s="104"/>
      <c r="G62" s="104"/>
      <c r="H62" s="104"/>
      <c r="I62" s="104"/>
      <c r="J62" s="104"/>
      <c r="K62" s="104"/>
      <c r="L62" s="108"/>
      <c r="M62" s="226"/>
      <c r="N62" s="104"/>
      <c r="O62" s="104"/>
      <c r="P62" s="104"/>
      <c r="Q62" s="104"/>
      <c r="R62" s="104"/>
      <c r="S62" s="104"/>
      <c r="T62" s="104"/>
      <c r="U62" s="104"/>
      <c r="V62" s="104"/>
      <c r="W62" s="108"/>
      <c r="X62" s="106"/>
      <c r="Y62" s="106"/>
      <c r="Z62" s="106"/>
      <c r="AA62" s="106"/>
      <c r="AB62" s="106"/>
      <c r="AC62" s="106"/>
      <c r="AD62" s="106"/>
      <c r="AE62" s="106"/>
      <c r="AF62" s="106"/>
      <c r="AG62" s="106"/>
      <c r="AH62" s="106"/>
      <c r="AI62" s="106"/>
      <c r="AJ62" s="106"/>
      <c r="AK62" s="106"/>
      <c r="AL62" s="106"/>
      <c r="AM62" s="106"/>
      <c r="AN62" s="106"/>
    </row>
    <row r="63" spans="1:40" ht="20" customHeight="1">
      <c r="A63" s="104"/>
      <c r="B63" s="226"/>
      <c r="C63" s="104"/>
      <c r="D63" s="104"/>
      <c r="E63" s="104"/>
      <c r="F63" s="104"/>
      <c r="G63" s="104"/>
      <c r="H63" s="104"/>
      <c r="I63" s="104"/>
      <c r="J63" s="104"/>
      <c r="K63" s="104"/>
      <c r="L63" s="108"/>
      <c r="M63" s="226"/>
      <c r="N63" s="104"/>
      <c r="O63" s="104"/>
      <c r="P63" s="104"/>
      <c r="Q63" s="104"/>
      <c r="R63" s="104"/>
      <c r="S63" s="104"/>
      <c r="T63" s="104"/>
      <c r="U63" s="104"/>
      <c r="V63" s="104"/>
      <c r="W63" s="108"/>
      <c r="X63" s="106"/>
      <c r="Y63" s="106"/>
      <c r="Z63" s="106"/>
      <c r="AA63" s="106"/>
      <c r="AB63" s="106"/>
      <c r="AC63" s="106"/>
      <c r="AD63" s="106"/>
      <c r="AE63" s="106"/>
      <c r="AF63" s="106"/>
      <c r="AG63" s="106"/>
      <c r="AH63" s="106"/>
      <c r="AI63" s="106"/>
      <c r="AJ63" s="106"/>
      <c r="AK63" s="106"/>
      <c r="AL63" s="106"/>
      <c r="AM63" s="106"/>
      <c r="AN63" s="106"/>
    </row>
    <row r="64" spans="1:40" ht="20" customHeight="1">
      <c r="A64" s="104"/>
      <c r="B64" s="226"/>
      <c r="C64" s="104"/>
      <c r="D64" s="104"/>
      <c r="E64" s="104"/>
      <c r="F64" s="104"/>
      <c r="G64" s="104"/>
      <c r="H64" s="104"/>
      <c r="I64" s="104"/>
      <c r="J64" s="104"/>
      <c r="K64" s="104"/>
      <c r="L64" s="108"/>
      <c r="M64" s="226"/>
      <c r="N64" s="104"/>
      <c r="O64" s="104"/>
      <c r="P64" s="104"/>
      <c r="Q64" s="104"/>
      <c r="R64" s="104"/>
      <c r="S64" s="104"/>
      <c r="T64" s="104"/>
      <c r="U64" s="104"/>
      <c r="V64" s="104"/>
      <c r="W64" s="108"/>
      <c r="X64" s="106"/>
      <c r="Y64" s="106"/>
      <c r="Z64" s="106"/>
      <c r="AA64" s="106"/>
      <c r="AB64" s="106"/>
      <c r="AC64" s="106"/>
      <c r="AD64" s="106"/>
      <c r="AE64" s="106"/>
      <c r="AF64" s="106"/>
      <c r="AG64" s="106"/>
      <c r="AH64" s="106"/>
      <c r="AI64" s="106"/>
      <c r="AJ64" s="106"/>
      <c r="AK64" s="106"/>
      <c r="AL64" s="106"/>
      <c r="AM64" s="106"/>
      <c r="AN64" s="106"/>
    </row>
    <row r="65" spans="1:40" ht="20" customHeight="1">
      <c r="A65" s="104"/>
      <c r="B65" s="226"/>
      <c r="C65" s="104"/>
      <c r="D65" s="104"/>
      <c r="E65" s="104"/>
      <c r="F65" s="104"/>
      <c r="G65" s="104"/>
      <c r="H65" s="104"/>
      <c r="I65" s="104"/>
      <c r="J65" s="104"/>
      <c r="K65" s="104"/>
      <c r="L65" s="108"/>
      <c r="M65" s="226"/>
      <c r="N65" s="104"/>
      <c r="O65" s="104"/>
      <c r="P65" s="104"/>
      <c r="Q65" s="104"/>
      <c r="R65" s="104"/>
      <c r="S65" s="104"/>
      <c r="T65" s="104"/>
      <c r="U65" s="104"/>
      <c r="V65" s="104"/>
      <c r="W65" s="108"/>
      <c r="X65" s="106"/>
      <c r="Y65" s="106"/>
      <c r="Z65" s="106"/>
      <c r="AA65" s="106"/>
      <c r="AB65" s="106"/>
      <c r="AC65" s="106"/>
      <c r="AD65" s="106"/>
      <c r="AE65" s="106"/>
      <c r="AF65" s="106"/>
      <c r="AG65" s="106"/>
      <c r="AH65" s="106"/>
      <c r="AI65" s="106"/>
      <c r="AJ65" s="106"/>
      <c r="AK65" s="106"/>
      <c r="AL65" s="106"/>
      <c r="AM65" s="106"/>
      <c r="AN65" s="106"/>
    </row>
    <row r="66" spans="1:40" ht="20" customHeight="1">
      <c r="A66" s="104"/>
      <c r="B66" s="226"/>
      <c r="C66" s="104"/>
      <c r="D66" s="104"/>
      <c r="E66" s="104"/>
      <c r="F66" s="104"/>
      <c r="G66" s="104"/>
      <c r="H66" s="104"/>
      <c r="I66" s="104"/>
      <c r="J66" s="104"/>
      <c r="K66" s="104"/>
      <c r="L66" s="108"/>
      <c r="M66" s="226"/>
      <c r="N66" s="104"/>
      <c r="O66" s="104"/>
      <c r="P66" s="104"/>
      <c r="Q66" s="104"/>
      <c r="R66" s="104"/>
      <c r="S66" s="104"/>
      <c r="T66" s="104"/>
      <c r="U66" s="104"/>
      <c r="V66" s="104"/>
      <c r="W66" s="108"/>
      <c r="X66" s="106"/>
      <c r="Y66" s="106"/>
      <c r="Z66" s="106"/>
      <c r="AA66" s="106"/>
      <c r="AB66" s="106"/>
      <c r="AC66" s="106"/>
      <c r="AD66" s="106"/>
      <c r="AE66" s="106"/>
      <c r="AF66" s="106"/>
      <c r="AG66" s="106"/>
      <c r="AH66" s="106"/>
      <c r="AI66" s="106"/>
      <c r="AJ66" s="106"/>
      <c r="AK66" s="106"/>
      <c r="AL66" s="106"/>
      <c r="AM66" s="106"/>
      <c r="AN66" s="106"/>
    </row>
    <row r="67" spans="1:40" ht="20" customHeight="1">
      <c r="A67" s="104"/>
      <c r="B67" s="226"/>
      <c r="C67" s="104"/>
      <c r="D67" s="104"/>
      <c r="E67" s="104"/>
      <c r="F67" s="104"/>
      <c r="G67" s="104"/>
      <c r="H67" s="104"/>
      <c r="I67" s="104"/>
      <c r="J67" s="104"/>
      <c r="K67" s="104"/>
      <c r="L67" s="108"/>
      <c r="M67" s="226"/>
      <c r="N67" s="104"/>
      <c r="O67" s="104"/>
      <c r="P67" s="104"/>
      <c r="Q67" s="104"/>
      <c r="R67" s="104"/>
      <c r="S67" s="104"/>
      <c r="T67" s="104"/>
      <c r="U67" s="104"/>
      <c r="V67" s="104"/>
      <c r="W67" s="108"/>
      <c r="X67" s="106"/>
      <c r="Y67" s="106"/>
      <c r="Z67" s="106"/>
      <c r="AA67" s="106"/>
      <c r="AB67" s="106"/>
      <c r="AC67" s="106"/>
      <c r="AD67" s="106"/>
      <c r="AE67" s="106"/>
      <c r="AF67" s="106"/>
      <c r="AG67" s="106"/>
      <c r="AH67" s="106"/>
      <c r="AI67" s="106"/>
      <c r="AJ67" s="106"/>
      <c r="AK67" s="106"/>
      <c r="AL67" s="106"/>
      <c r="AM67" s="106"/>
      <c r="AN67" s="106"/>
    </row>
    <row r="68" spans="1:40" ht="20" customHeight="1">
      <c r="A68" s="104"/>
      <c r="B68" s="226"/>
      <c r="C68" s="104"/>
      <c r="D68" s="104"/>
      <c r="E68" s="104"/>
      <c r="F68" s="104"/>
      <c r="G68" s="104"/>
      <c r="H68" s="104"/>
      <c r="I68" s="104"/>
      <c r="J68" s="104"/>
      <c r="K68" s="104"/>
      <c r="L68" s="108"/>
      <c r="M68" s="226"/>
      <c r="N68" s="104"/>
      <c r="O68" s="104"/>
      <c r="P68" s="104"/>
      <c r="Q68" s="104"/>
      <c r="R68" s="104"/>
      <c r="S68" s="104"/>
      <c r="T68" s="104"/>
      <c r="U68" s="104"/>
      <c r="V68" s="104"/>
      <c r="W68" s="108"/>
      <c r="X68" s="106"/>
      <c r="Y68" s="106"/>
      <c r="Z68" s="106"/>
      <c r="AA68" s="106"/>
      <c r="AB68" s="106"/>
      <c r="AC68" s="106"/>
      <c r="AD68" s="106"/>
      <c r="AE68" s="106"/>
      <c r="AF68" s="106"/>
      <c r="AG68" s="106"/>
      <c r="AH68" s="106"/>
      <c r="AI68" s="106"/>
      <c r="AJ68" s="106"/>
      <c r="AK68" s="106"/>
      <c r="AL68" s="106"/>
      <c r="AM68" s="106"/>
      <c r="AN68" s="106"/>
    </row>
    <row r="69" spans="1:40" ht="20" customHeight="1">
      <c r="A69" s="104"/>
      <c r="B69" s="226"/>
      <c r="C69" s="104"/>
      <c r="D69" s="104"/>
      <c r="E69" s="104"/>
      <c r="F69" s="104"/>
      <c r="G69" s="104"/>
      <c r="H69" s="104"/>
      <c r="I69" s="104"/>
      <c r="J69" s="104"/>
      <c r="K69" s="104"/>
      <c r="L69" s="108"/>
      <c r="M69" s="226"/>
      <c r="N69" s="104"/>
      <c r="O69" s="104"/>
      <c r="P69" s="104"/>
      <c r="Q69" s="104"/>
      <c r="R69" s="104"/>
      <c r="S69" s="104"/>
      <c r="T69" s="104"/>
      <c r="U69" s="104"/>
      <c r="V69" s="104"/>
      <c r="W69" s="108"/>
      <c r="X69" s="106"/>
      <c r="Y69" s="106"/>
      <c r="Z69" s="106"/>
      <c r="AA69" s="106"/>
      <c r="AB69" s="106"/>
      <c r="AC69" s="106"/>
      <c r="AD69" s="106"/>
      <c r="AE69" s="106"/>
      <c r="AF69" s="106"/>
      <c r="AG69" s="106"/>
      <c r="AH69" s="106"/>
      <c r="AI69" s="106"/>
      <c r="AJ69" s="106"/>
      <c r="AK69" s="106"/>
      <c r="AL69" s="106"/>
      <c r="AM69" s="106"/>
      <c r="AN69" s="106"/>
    </row>
    <row r="70" spans="1:40" ht="20" customHeight="1">
      <c r="A70" s="104"/>
      <c r="B70" s="226"/>
      <c r="C70" s="104"/>
      <c r="D70" s="104"/>
      <c r="E70" s="104"/>
      <c r="F70" s="104"/>
      <c r="G70" s="104"/>
      <c r="H70" s="104"/>
      <c r="I70" s="104"/>
      <c r="J70" s="104"/>
      <c r="K70" s="104"/>
      <c r="L70" s="108"/>
      <c r="M70" s="226"/>
      <c r="N70" s="104"/>
      <c r="O70" s="104"/>
      <c r="P70" s="104"/>
      <c r="Q70" s="104"/>
      <c r="R70" s="104"/>
      <c r="S70" s="104"/>
      <c r="T70" s="104"/>
      <c r="U70" s="104"/>
      <c r="V70" s="104"/>
      <c r="W70" s="108"/>
      <c r="X70" s="106"/>
      <c r="Y70" s="106"/>
      <c r="Z70" s="106"/>
      <c r="AA70" s="106"/>
      <c r="AB70" s="106"/>
      <c r="AC70" s="106"/>
      <c r="AD70" s="106"/>
      <c r="AE70" s="106"/>
      <c r="AF70" s="106"/>
      <c r="AG70" s="106"/>
      <c r="AH70" s="106"/>
      <c r="AI70" s="106"/>
      <c r="AJ70" s="106"/>
      <c r="AK70" s="106"/>
      <c r="AL70" s="106"/>
      <c r="AM70" s="106"/>
      <c r="AN70" s="106"/>
    </row>
    <row r="71" spans="1:40" ht="20" customHeight="1">
      <c r="A71" s="104"/>
      <c r="B71" s="226"/>
      <c r="C71" s="104"/>
      <c r="D71" s="104"/>
      <c r="E71" s="104"/>
      <c r="F71" s="104"/>
      <c r="G71" s="104"/>
      <c r="H71" s="104"/>
      <c r="I71" s="104"/>
      <c r="J71" s="104"/>
      <c r="K71" s="104"/>
      <c r="L71" s="108"/>
      <c r="M71" s="226"/>
      <c r="N71" s="104"/>
      <c r="O71" s="104"/>
      <c r="P71" s="104"/>
      <c r="Q71" s="104"/>
      <c r="R71" s="104"/>
      <c r="S71" s="104"/>
      <c r="T71" s="104"/>
      <c r="U71" s="104"/>
      <c r="V71" s="104"/>
      <c r="W71" s="108"/>
      <c r="X71" s="106"/>
      <c r="Y71" s="106"/>
      <c r="Z71" s="106"/>
      <c r="AA71" s="106"/>
      <c r="AB71" s="106"/>
      <c r="AC71" s="106"/>
      <c r="AD71" s="106"/>
      <c r="AE71" s="106"/>
      <c r="AF71" s="106"/>
      <c r="AG71" s="106"/>
      <c r="AH71" s="106"/>
      <c r="AI71" s="106"/>
      <c r="AJ71" s="106"/>
      <c r="AK71" s="106"/>
      <c r="AL71" s="106"/>
      <c r="AM71" s="106"/>
      <c r="AN71" s="106"/>
    </row>
    <row r="72" spans="1:40" ht="20" customHeight="1">
      <c r="A72" s="104"/>
      <c r="B72" s="226"/>
      <c r="C72" s="104"/>
      <c r="D72" s="104"/>
      <c r="E72" s="104"/>
      <c r="F72" s="104"/>
      <c r="G72" s="104"/>
      <c r="H72" s="104"/>
      <c r="I72" s="104"/>
      <c r="J72" s="104"/>
      <c r="K72" s="104"/>
      <c r="L72" s="108"/>
      <c r="M72" s="226"/>
      <c r="N72" s="104"/>
      <c r="O72" s="104"/>
      <c r="P72" s="104"/>
      <c r="Q72" s="104"/>
      <c r="R72" s="104"/>
      <c r="S72" s="104"/>
      <c r="T72" s="104"/>
      <c r="U72" s="104"/>
      <c r="V72" s="104"/>
      <c r="W72" s="108"/>
      <c r="X72" s="106"/>
      <c r="Y72" s="106"/>
      <c r="Z72" s="106"/>
      <c r="AA72" s="106"/>
      <c r="AB72" s="106"/>
      <c r="AC72" s="106"/>
      <c r="AD72" s="106"/>
      <c r="AE72" s="106"/>
      <c r="AF72" s="106"/>
      <c r="AG72" s="106"/>
      <c r="AH72" s="106"/>
      <c r="AI72" s="106"/>
      <c r="AJ72" s="106"/>
      <c r="AK72" s="106"/>
      <c r="AL72" s="106"/>
      <c r="AM72" s="106"/>
      <c r="AN72" s="106"/>
    </row>
    <row r="73" spans="1:40" ht="20" customHeight="1">
      <c r="A73" s="104"/>
      <c r="B73" s="226"/>
      <c r="C73" s="104"/>
      <c r="D73" s="104"/>
      <c r="E73" s="104"/>
      <c r="F73" s="104"/>
      <c r="G73" s="104"/>
      <c r="H73" s="104"/>
      <c r="I73" s="104"/>
      <c r="J73" s="104"/>
      <c r="K73" s="104"/>
      <c r="L73" s="108"/>
      <c r="M73" s="226"/>
      <c r="N73" s="104"/>
      <c r="O73" s="104"/>
      <c r="P73" s="104"/>
      <c r="Q73" s="104"/>
      <c r="R73" s="104"/>
      <c r="S73" s="104"/>
      <c r="T73" s="104"/>
      <c r="U73" s="104"/>
      <c r="V73" s="104"/>
      <c r="W73" s="108"/>
      <c r="X73" s="106"/>
      <c r="Y73" s="106"/>
      <c r="Z73" s="106"/>
      <c r="AA73" s="106"/>
      <c r="AB73" s="106"/>
      <c r="AC73" s="106"/>
      <c r="AD73" s="106"/>
      <c r="AE73" s="106"/>
      <c r="AF73" s="106"/>
      <c r="AG73" s="106"/>
      <c r="AH73" s="106"/>
      <c r="AI73" s="106"/>
      <c r="AJ73" s="106"/>
      <c r="AK73" s="106"/>
      <c r="AL73" s="106"/>
      <c r="AM73" s="106"/>
      <c r="AN73" s="106"/>
    </row>
    <row r="74" spans="1:40" ht="20" customHeight="1">
      <c r="A74" s="104"/>
      <c r="B74" s="226"/>
      <c r="C74" s="104"/>
      <c r="D74" s="104"/>
      <c r="E74" s="104"/>
      <c r="F74" s="104"/>
      <c r="G74" s="104"/>
      <c r="H74" s="104"/>
      <c r="I74" s="104"/>
      <c r="J74" s="104"/>
      <c r="K74" s="104"/>
      <c r="L74" s="108"/>
      <c r="M74" s="226"/>
      <c r="N74" s="104"/>
      <c r="O74" s="104"/>
      <c r="P74" s="104"/>
      <c r="Q74" s="104"/>
      <c r="R74" s="104"/>
      <c r="S74" s="104"/>
      <c r="T74" s="104"/>
      <c r="U74" s="104"/>
      <c r="V74" s="104"/>
      <c r="W74" s="108"/>
      <c r="X74" s="106"/>
      <c r="Y74" s="106"/>
      <c r="Z74" s="106"/>
      <c r="AA74" s="106"/>
      <c r="AB74" s="106"/>
      <c r="AC74" s="106"/>
      <c r="AD74" s="106"/>
      <c r="AE74" s="106"/>
      <c r="AF74" s="106"/>
      <c r="AG74" s="106"/>
      <c r="AH74" s="106"/>
      <c r="AI74" s="106"/>
      <c r="AJ74" s="106"/>
      <c r="AK74" s="106"/>
      <c r="AL74" s="106"/>
      <c r="AM74" s="106"/>
      <c r="AN74" s="106"/>
    </row>
    <row r="75" spans="1:40" ht="20" customHeight="1">
      <c r="A75" s="104"/>
      <c r="B75" s="226"/>
      <c r="C75" s="104"/>
      <c r="D75" s="104"/>
      <c r="E75" s="104"/>
      <c r="F75" s="104"/>
      <c r="G75" s="104"/>
      <c r="H75" s="104"/>
      <c r="I75" s="104"/>
      <c r="J75" s="104"/>
      <c r="K75" s="104"/>
      <c r="L75" s="108"/>
      <c r="M75" s="226"/>
      <c r="N75" s="104"/>
      <c r="O75" s="104"/>
      <c r="P75" s="104"/>
      <c r="Q75" s="104"/>
      <c r="R75" s="104"/>
      <c r="S75" s="104"/>
      <c r="T75" s="104"/>
      <c r="U75" s="104"/>
      <c r="V75" s="104"/>
      <c r="W75" s="108"/>
      <c r="X75" s="106"/>
      <c r="Y75" s="106"/>
      <c r="Z75" s="106"/>
      <c r="AA75" s="106"/>
      <c r="AB75" s="106"/>
      <c r="AC75" s="106"/>
      <c r="AD75" s="106"/>
      <c r="AE75" s="106"/>
      <c r="AF75" s="106"/>
      <c r="AG75" s="106"/>
      <c r="AH75" s="106"/>
      <c r="AI75" s="106"/>
      <c r="AJ75" s="106"/>
      <c r="AK75" s="106"/>
      <c r="AL75" s="106"/>
      <c r="AM75" s="106"/>
      <c r="AN75" s="106"/>
    </row>
    <row r="76" spans="1:40" ht="20" customHeight="1">
      <c r="A76" s="104"/>
      <c r="B76" s="226"/>
      <c r="C76" s="104"/>
      <c r="D76" s="104"/>
      <c r="E76" s="104"/>
      <c r="F76" s="104"/>
      <c r="G76" s="104"/>
      <c r="H76" s="104"/>
      <c r="I76" s="104"/>
      <c r="J76" s="104"/>
      <c r="K76" s="104"/>
      <c r="L76" s="108"/>
      <c r="M76" s="226"/>
      <c r="N76" s="104"/>
      <c r="O76" s="104"/>
      <c r="P76" s="104"/>
      <c r="Q76" s="104"/>
      <c r="R76" s="104"/>
      <c r="S76" s="104"/>
      <c r="T76" s="104"/>
      <c r="U76" s="104"/>
      <c r="V76" s="104"/>
      <c r="W76" s="108"/>
      <c r="X76" s="106"/>
      <c r="Y76" s="106"/>
      <c r="Z76" s="106"/>
      <c r="AA76" s="106"/>
      <c r="AB76" s="106"/>
      <c r="AC76" s="106"/>
      <c r="AD76" s="106"/>
      <c r="AE76" s="106"/>
      <c r="AF76" s="106"/>
      <c r="AG76" s="106"/>
      <c r="AH76" s="106"/>
      <c r="AI76" s="106"/>
      <c r="AJ76" s="106"/>
      <c r="AK76" s="106"/>
      <c r="AL76" s="106"/>
      <c r="AM76" s="106"/>
      <c r="AN76" s="106"/>
    </row>
    <row r="77" spans="1:40" ht="20" customHeight="1">
      <c r="A77" s="104"/>
      <c r="B77" s="226"/>
      <c r="C77" s="104"/>
      <c r="D77" s="104"/>
      <c r="E77" s="104"/>
      <c r="F77" s="104"/>
      <c r="G77" s="104"/>
      <c r="H77" s="104"/>
      <c r="I77" s="104"/>
      <c r="J77" s="104"/>
      <c r="K77" s="104"/>
      <c r="L77" s="108"/>
      <c r="M77" s="226"/>
      <c r="N77" s="104"/>
      <c r="O77" s="104"/>
      <c r="P77" s="104"/>
      <c r="Q77" s="104"/>
      <c r="R77" s="104"/>
      <c r="S77" s="104"/>
      <c r="T77" s="104"/>
      <c r="U77" s="104"/>
      <c r="V77" s="104"/>
      <c r="W77" s="108"/>
      <c r="X77" s="106"/>
      <c r="Y77" s="106"/>
      <c r="Z77" s="106"/>
      <c r="AA77" s="106"/>
      <c r="AB77" s="106"/>
      <c r="AC77" s="106"/>
      <c r="AD77" s="106"/>
      <c r="AE77" s="106"/>
      <c r="AF77" s="106"/>
      <c r="AG77" s="106"/>
      <c r="AH77" s="106"/>
      <c r="AI77" s="106"/>
      <c r="AJ77" s="106"/>
      <c r="AK77" s="106"/>
      <c r="AL77" s="106"/>
      <c r="AM77" s="106"/>
      <c r="AN77" s="106"/>
    </row>
    <row r="78" spans="1:40" ht="20" customHeight="1">
      <c r="A78" s="104"/>
      <c r="B78" s="226"/>
      <c r="C78" s="104"/>
      <c r="D78" s="104"/>
      <c r="E78" s="104"/>
      <c r="F78" s="104"/>
      <c r="G78" s="104"/>
      <c r="H78" s="104"/>
      <c r="I78" s="104"/>
      <c r="J78" s="104"/>
      <c r="K78" s="104"/>
      <c r="L78" s="108"/>
      <c r="M78" s="226"/>
      <c r="N78" s="104"/>
      <c r="O78" s="104"/>
      <c r="P78" s="104"/>
      <c r="Q78" s="104"/>
      <c r="R78" s="104"/>
      <c r="S78" s="104"/>
      <c r="T78" s="104"/>
      <c r="U78" s="104"/>
      <c r="V78" s="104"/>
      <c r="W78" s="108"/>
      <c r="X78" s="106"/>
      <c r="Y78" s="106"/>
      <c r="Z78" s="106"/>
      <c r="AA78" s="106"/>
      <c r="AB78" s="106"/>
      <c r="AC78" s="106"/>
      <c r="AD78" s="106"/>
      <c r="AE78" s="106"/>
      <c r="AF78" s="106"/>
      <c r="AG78" s="106"/>
      <c r="AH78" s="106"/>
      <c r="AI78" s="106"/>
      <c r="AJ78" s="106"/>
      <c r="AK78" s="106"/>
      <c r="AL78" s="106"/>
      <c r="AM78" s="106"/>
      <c r="AN78" s="106"/>
    </row>
    <row r="79" spans="1:40" ht="20" customHeight="1">
      <c r="A79" s="104"/>
      <c r="B79" s="226"/>
      <c r="C79" s="104"/>
      <c r="D79" s="104"/>
      <c r="E79" s="104"/>
      <c r="F79" s="104"/>
      <c r="G79" s="104"/>
      <c r="H79" s="104"/>
      <c r="I79" s="104"/>
      <c r="J79" s="104"/>
      <c r="K79" s="104"/>
      <c r="L79" s="108"/>
      <c r="M79" s="226"/>
      <c r="N79" s="104"/>
      <c r="O79" s="104"/>
      <c r="P79" s="104"/>
      <c r="Q79" s="104"/>
      <c r="R79" s="104"/>
      <c r="S79" s="104"/>
      <c r="T79" s="104"/>
      <c r="U79" s="104"/>
      <c r="V79" s="104"/>
      <c r="W79" s="108"/>
      <c r="X79" s="106"/>
      <c r="Y79" s="106"/>
      <c r="Z79" s="106"/>
      <c r="AA79" s="106"/>
      <c r="AB79" s="106"/>
      <c r="AC79" s="106"/>
      <c r="AD79" s="106"/>
      <c r="AE79" s="106"/>
      <c r="AF79" s="106"/>
      <c r="AG79" s="106"/>
      <c r="AH79" s="106"/>
      <c r="AI79" s="106"/>
      <c r="AJ79" s="106"/>
      <c r="AK79" s="106"/>
      <c r="AL79" s="106"/>
      <c r="AM79" s="106"/>
      <c r="AN79" s="106"/>
    </row>
    <row r="80" spans="1:40" ht="20" customHeight="1">
      <c r="A80" s="104"/>
      <c r="B80" s="226"/>
      <c r="C80" s="104"/>
      <c r="D80" s="104"/>
      <c r="E80" s="104"/>
      <c r="F80" s="104"/>
      <c r="G80" s="104"/>
      <c r="H80" s="104"/>
      <c r="I80" s="104"/>
      <c r="J80" s="104"/>
      <c r="K80" s="104"/>
      <c r="L80" s="108"/>
      <c r="M80" s="226"/>
      <c r="N80" s="104"/>
      <c r="O80" s="104"/>
      <c r="P80" s="104"/>
      <c r="Q80" s="104"/>
      <c r="R80" s="104"/>
      <c r="S80" s="104"/>
      <c r="T80" s="104"/>
      <c r="U80" s="104"/>
      <c r="V80" s="104"/>
      <c r="W80" s="108"/>
      <c r="X80" s="106"/>
      <c r="Y80" s="106"/>
      <c r="Z80" s="106"/>
      <c r="AA80" s="106"/>
      <c r="AB80" s="106"/>
      <c r="AC80" s="106"/>
      <c r="AD80" s="106"/>
      <c r="AE80" s="106"/>
      <c r="AF80" s="106"/>
      <c r="AG80" s="106"/>
      <c r="AH80" s="106"/>
      <c r="AI80" s="106"/>
      <c r="AJ80" s="106"/>
      <c r="AK80" s="106"/>
      <c r="AL80" s="106"/>
      <c r="AM80" s="106"/>
      <c r="AN80" s="106"/>
    </row>
    <row r="81" spans="1:40" ht="20" customHeight="1">
      <c r="A81" s="104"/>
      <c r="B81" s="226"/>
      <c r="C81" s="104"/>
      <c r="D81" s="104"/>
      <c r="E81" s="104"/>
      <c r="F81" s="104"/>
      <c r="G81" s="104"/>
      <c r="H81" s="104"/>
      <c r="I81" s="104"/>
      <c r="J81" s="104"/>
      <c r="K81" s="104"/>
      <c r="L81" s="108"/>
      <c r="M81" s="226"/>
      <c r="N81" s="104"/>
      <c r="O81" s="104"/>
      <c r="P81" s="104"/>
      <c r="Q81" s="104"/>
      <c r="R81" s="104"/>
      <c r="S81" s="104"/>
      <c r="T81" s="104"/>
      <c r="U81" s="104"/>
      <c r="V81" s="104"/>
      <c r="W81" s="108"/>
      <c r="X81" s="106"/>
      <c r="Y81" s="106"/>
      <c r="Z81" s="106"/>
      <c r="AA81" s="106"/>
      <c r="AB81" s="106"/>
      <c r="AC81" s="106"/>
      <c r="AD81" s="106"/>
      <c r="AE81" s="106"/>
      <c r="AF81" s="106"/>
      <c r="AG81" s="106"/>
      <c r="AH81" s="106"/>
      <c r="AI81" s="106"/>
      <c r="AJ81" s="106"/>
      <c r="AK81" s="106"/>
      <c r="AL81" s="106"/>
      <c r="AM81" s="106"/>
      <c r="AN81" s="106"/>
    </row>
    <row r="82" spans="1:40" ht="20" customHeight="1">
      <c r="A82" s="104"/>
      <c r="B82" s="226"/>
      <c r="C82" s="104"/>
      <c r="D82" s="104"/>
      <c r="E82" s="104"/>
      <c r="F82" s="104"/>
      <c r="G82" s="104"/>
      <c r="H82" s="104"/>
      <c r="I82" s="104"/>
      <c r="J82" s="104"/>
      <c r="K82" s="104"/>
      <c r="L82" s="108"/>
      <c r="M82" s="226"/>
      <c r="N82" s="104"/>
      <c r="O82" s="104"/>
      <c r="P82" s="104"/>
      <c r="Q82" s="104"/>
      <c r="R82" s="104"/>
      <c r="S82" s="104"/>
      <c r="T82" s="104"/>
      <c r="U82" s="104"/>
      <c r="V82" s="104"/>
      <c r="W82" s="108"/>
      <c r="X82" s="106"/>
      <c r="Y82" s="106"/>
      <c r="Z82" s="106"/>
      <c r="AA82" s="106"/>
      <c r="AB82" s="106"/>
      <c r="AC82" s="106"/>
      <c r="AD82" s="106"/>
      <c r="AE82" s="106"/>
      <c r="AF82" s="106"/>
      <c r="AG82" s="106"/>
      <c r="AH82" s="106"/>
      <c r="AI82" s="106"/>
      <c r="AJ82" s="106"/>
      <c r="AK82" s="106"/>
      <c r="AL82" s="106"/>
      <c r="AM82" s="106"/>
      <c r="AN82" s="106"/>
    </row>
    <row r="83" spans="1:40" ht="20" customHeight="1">
      <c r="A83" s="104"/>
      <c r="B83" s="226"/>
      <c r="C83" s="104"/>
      <c r="D83" s="104"/>
      <c r="E83" s="104"/>
      <c r="F83" s="104"/>
      <c r="G83" s="104"/>
      <c r="H83" s="104"/>
      <c r="I83" s="104"/>
      <c r="J83" s="104"/>
      <c r="K83" s="104"/>
      <c r="L83" s="108"/>
      <c r="M83" s="226"/>
      <c r="N83" s="104"/>
      <c r="O83" s="104"/>
      <c r="P83" s="104"/>
      <c r="Q83" s="104"/>
      <c r="R83" s="104"/>
      <c r="S83" s="104"/>
      <c r="T83" s="104"/>
      <c r="U83" s="104"/>
      <c r="V83" s="104"/>
      <c r="W83" s="108"/>
      <c r="X83" s="106"/>
      <c r="Y83" s="106"/>
      <c r="Z83" s="106"/>
      <c r="AA83" s="106"/>
      <c r="AB83" s="106"/>
      <c r="AC83" s="106"/>
      <c r="AD83" s="106"/>
      <c r="AE83" s="106"/>
      <c r="AF83" s="106"/>
      <c r="AG83" s="106"/>
      <c r="AH83" s="106"/>
      <c r="AI83" s="106"/>
      <c r="AJ83" s="106"/>
      <c r="AK83" s="106"/>
      <c r="AL83" s="106"/>
      <c r="AM83" s="106"/>
      <c r="AN83" s="106"/>
    </row>
    <row r="84" spans="1:40" ht="20" customHeight="1">
      <c r="A84" s="104"/>
      <c r="B84" s="226"/>
      <c r="C84" s="104"/>
      <c r="D84" s="104"/>
      <c r="E84" s="104"/>
      <c r="F84" s="104"/>
      <c r="G84" s="104"/>
      <c r="H84" s="104"/>
      <c r="I84" s="104"/>
      <c r="J84" s="104"/>
      <c r="K84" s="104"/>
      <c r="L84" s="108"/>
      <c r="M84" s="226"/>
      <c r="N84" s="104"/>
      <c r="O84" s="104"/>
      <c r="P84" s="104"/>
      <c r="Q84" s="104"/>
      <c r="R84" s="104"/>
      <c r="S84" s="104"/>
      <c r="T84" s="104"/>
      <c r="U84" s="104"/>
      <c r="V84" s="104"/>
      <c r="W84" s="108"/>
      <c r="X84" s="106"/>
      <c r="Y84" s="106"/>
      <c r="Z84" s="106"/>
      <c r="AA84" s="106"/>
      <c r="AB84" s="106"/>
      <c r="AC84" s="106"/>
      <c r="AD84" s="106"/>
      <c r="AE84" s="106"/>
      <c r="AF84" s="106"/>
      <c r="AG84" s="106"/>
      <c r="AH84" s="106"/>
      <c r="AI84" s="106"/>
      <c r="AJ84" s="106"/>
      <c r="AK84" s="106"/>
      <c r="AL84" s="106"/>
      <c r="AM84" s="106"/>
      <c r="AN84" s="106"/>
    </row>
    <row r="85" spans="1:40" ht="20" customHeight="1">
      <c r="A85" s="104"/>
      <c r="B85" s="226"/>
      <c r="C85" s="104"/>
      <c r="D85" s="104"/>
      <c r="E85" s="104"/>
      <c r="F85" s="104"/>
      <c r="G85" s="104"/>
      <c r="H85" s="104"/>
      <c r="I85" s="104"/>
      <c r="J85" s="104"/>
      <c r="K85" s="104"/>
      <c r="L85" s="108"/>
      <c r="M85" s="226"/>
      <c r="N85" s="104"/>
      <c r="O85" s="104"/>
      <c r="P85" s="104"/>
      <c r="Q85" s="104"/>
      <c r="R85" s="104"/>
      <c r="S85" s="104"/>
      <c r="T85" s="104"/>
      <c r="U85" s="104"/>
      <c r="V85" s="104"/>
      <c r="W85" s="108"/>
      <c r="X85" s="106"/>
      <c r="Y85" s="106"/>
      <c r="Z85" s="106"/>
      <c r="AA85" s="106"/>
      <c r="AB85" s="106"/>
      <c r="AC85" s="106"/>
      <c r="AD85" s="106"/>
      <c r="AE85" s="106"/>
      <c r="AF85" s="106"/>
      <c r="AG85" s="106"/>
      <c r="AH85" s="106"/>
      <c r="AI85" s="106"/>
      <c r="AJ85" s="106"/>
      <c r="AK85" s="106"/>
      <c r="AL85" s="106"/>
      <c r="AM85" s="106"/>
      <c r="AN85" s="106"/>
    </row>
    <row r="86" spans="1:40" ht="20" customHeight="1">
      <c r="A86" s="104"/>
      <c r="B86" s="226"/>
      <c r="C86" s="104"/>
      <c r="D86" s="104"/>
      <c r="E86" s="104"/>
      <c r="F86" s="104"/>
      <c r="G86" s="104"/>
      <c r="H86" s="104"/>
      <c r="I86" s="104"/>
      <c r="J86" s="104"/>
      <c r="K86" s="104"/>
      <c r="L86" s="108"/>
      <c r="M86" s="226"/>
      <c r="N86" s="104"/>
      <c r="O86" s="104"/>
      <c r="P86" s="104"/>
      <c r="Q86" s="104"/>
      <c r="R86" s="104"/>
      <c r="S86" s="104"/>
      <c r="T86" s="104"/>
      <c r="U86" s="104"/>
      <c r="V86" s="104"/>
      <c r="W86" s="108"/>
      <c r="X86" s="106"/>
      <c r="Y86" s="106"/>
      <c r="Z86" s="106"/>
      <c r="AA86" s="106"/>
      <c r="AB86" s="106"/>
      <c r="AC86" s="106"/>
      <c r="AD86" s="106"/>
      <c r="AE86" s="106"/>
      <c r="AF86" s="106"/>
      <c r="AG86" s="106"/>
      <c r="AH86" s="106"/>
      <c r="AI86" s="106"/>
      <c r="AJ86" s="106"/>
      <c r="AK86" s="106"/>
      <c r="AL86" s="106"/>
      <c r="AM86" s="106"/>
      <c r="AN86" s="106"/>
    </row>
    <row r="87" spans="1:40" ht="20" customHeight="1">
      <c r="A87" s="104"/>
      <c r="B87" s="226"/>
      <c r="C87" s="104"/>
      <c r="D87" s="104"/>
      <c r="E87" s="104"/>
      <c r="F87" s="104"/>
      <c r="G87" s="104"/>
      <c r="H87" s="104"/>
      <c r="I87" s="104"/>
      <c r="J87" s="104"/>
      <c r="K87" s="104"/>
      <c r="L87" s="108"/>
      <c r="M87" s="226"/>
      <c r="N87" s="104"/>
      <c r="O87" s="104"/>
      <c r="P87" s="104"/>
      <c r="Q87" s="104"/>
      <c r="R87" s="104"/>
      <c r="S87" s="104"/>
      <c r="T87" s="104"/>
      <c r="U87" s="104"/>
      <c r="V87" s="104"/>
      <c r="W87" s="108"/>
      <c r="X87" s="106"/>
      <c r="Y87" s="106"/>
      <c r="Z87" s="106"/>
      <c r="AA87" s="106"/>
      <c r="AB87" s="106"/>
      <c r="AC87" s="106"/>
      <c r="AD87" s="106"/>
      <c r="AE87" s="106"/>
      <c r="AF87" s="106"/>
      <c r="AG87" s="106"/>
      <c r="AH87" s="106"/>
      <c r="AI87" s="106"/>
      <c r="AJ87" s="106"/>
      <c r="AK87" s="106"/>
      <c r="AL87" s="106"/>
      <c r="AM87" s="106"/>
      <c r="AN87" s="106"/>
    </row>
    <row r="88" spans="1:40" ht="20" customHeight="1">
      <c r="A88" s="104"/>
      <c r="B88" s="226"/>
      <c r="C88" s="104"/>
      <c r="D88" s="104"/>
      <c r="E88" s="104"/>
      <c r="F88" s="104"/>
      <c r="G88" s="104"/>
      <c r="H88" s="104"/>
      <c r="I88" s="104"/>
      <c r="J88" s="104"/>
      <c r="K88" s="104"/>
      <c r="L88" s="108"/>
      <c r="M88" s="226"/>
      <c r="N88" s="104"/>
      <c r="O88" s="104"/>
      <c r="P88" s="104"/>
      <c r="Q88" s="104"/>
      <c r="R88" s="104"/>
      <c r="S88" s="104"/>
      <c r="T88" s="104"/>
      <c r="U88" s="104"/>
      <c r="V88" s="104"/>
      <c r="W88" s="108"/>
      <c r="X88" s="106"/>
      <c r="Y88" s="106"/>
      <c r="Z88" s="106"/>
      <c r="AA88" s="106"/>
      <c r="AB88" s="106"/>
      <c r="AC88" s="106"/>
      <c r="AD88" s="106"/>
      <c r="AE88" s="106"/>
      <c r="AF88" s="106"/>
      <c r="AG88" s="106"/>
      <c r="AH88" s="106"/>
      <c r="AI88" s="106"/>
      <c r="AJ88" s="106"/>
      <c r="AK88" s="106"/>
      <c r="AL88" s="106"/>
      <c r="AM88" s="106"/>
      <c r="AN88" s="106"/>
    </row>
    <row r="89" spans="1:40" ht="20" customHeight="1">
      <c r="A89" s="104"/>
      <c r="B89" s="226"/>
      <c r="C89" s="104"/>
      <c r="D89" s="104"/>
      <c r="E89" s="104"/>
      <c r="F89" s="104"/>
      <c r="G89" s="104"/>
      <c r="H89" s="104"/>
      <c r="I89" s="104"/>
      <c r="J89" s="104"/>
      <c r="K89" s="104"/>
      <c r="L89" s="108"/>
      <c r="M89" s="226"/>
      <c r="N89" s="104"/>
      <c r="O89" s="104"/>
      <c r="P89" s="104"/>
      <c r="Q89" s="104"/>
      <c r="R89" s="104"/>
      <c r="S89" s="104"/>
      <c r="T89" s="104"/>
      <c r="U89" s="104"/>
      <c r="V89" s="104"/>
      <c r="W89" s="108"/>
      <c r="X89" s="106"/>
      <c r="Y89" s="106"/>
      <c r="Z89" s="106"/>
      <c r="AA89" s="106"/>
      <c r="AB89" s="106"/>
      <c r="AC89" s="106"/>
      <c r="AD89" s="106"/>
      <c r="AE89" s="106"/>
      <c r="AF89" s="106"/>
      <c r="AG89" s="106"/>
      <c r="AH89" s="106"/>
      <c r="AI89" s="106"/>
      <c r="AJ89" s="106"/>
      <c r="AK89" s="106"/>
      <c r="AL89" s="106"/>
      <c r="AM89" s="106"/>
      <c r="AN89" s="106"/>
    </row>
    <row r="90" spans="1:40" ht="20" customHeight="1">
      <c r="A90" s="104"/>
      <c r="B90" s="226"/>
      <c r="C90" s="104"/>
      <c r="D90" s="104"/>
      <c r="E90" s="104"/>
      <c r="F90" s="104"/>
      <c r="G90" s="104"/>
      <c r="H90" s="104"/>
      <c r="I90" s="104"/>
      <c r="J90" s="104"/>
      <c r="K90" s="104"/>
      <c r="L90" s="108"/>
      <c r="M90" s="226"/>
      <c r="N90" s="104"/>
      <c r="O90" s="104"/>
      <c r="P90" s="104"/>
      <c r="Q90" s="104"/>
      <c r="R90" s="104"/>
      <c r="S90" s="104"/>
      <c r="T90" s="104"/>
      <c r="U90" s="104"/>
      <c r="V90" s="104"/>
      <c r="W90" s="108"/>
      <c r="X90" s="106"/>
      <c r="Y90" s="106"/>
      <c r="Z90" s="106"/>
      <c r="AA90" s="106"/>
      <c r="AB90" s="106"/>
      <c r="AC90" s="106"/>
      <c r="AD90" s="106"/>
      <c r="AE90" s="106"/>
      <c r="AF90" s="106"/>
      <c r="AG90" s="106"/>
      <c r="AH90" s="106"/>
      <c r="AI90" s="106"/>
      <c r="AJ90" s="106"/>
      <c r="AK90" s="106"/>
      <c r="AL90" s="106"/>
      <c r="AM90" s="106"/>
      <c r="AN90" s="106"/>
    </row>
    <row r="91" spans="1:40" ht="20" customHeight="1">
      <c r="A91" s="104"/>
      <c r="B91" s="226"/>
      <c r="C91" s="104"/>
      <c r="D91" s="104"/>
      <c r="E91" s="104"/>
      <c r="F91" s="104"/>
      <c r="G91" s="104"/>
      <c r="H91" s="104"/>
      <c r="I91" s="104"/>
      <c r="J91" s="104"/>
      <c r="K91" s="104"/>
      <c r="L91" s="108"/>
      <c r="M91" s="226"/>
      <c r="N91" s="104"/>
      <c r="O91" s="104"/>
      <c r="P91" s="104"/>
      <c r="Q91" s="104"/>
      <c r="R91" s="104"/>
      <c r="S91" s="104"/>
      <c r="T91" s="104"/>
      <c r="U91" s="104"/>
      <c r="V91" s="104"/>
      <c r="W91" s="108"/>
      <c r="X91" s="106"/>
      <c r="Y91" s="106"/>
      <c r="Z91" s="106"/>
      <c r="AA91" s="106"/>
      <c r="AB91" s="106"/>
      <c r="AC91" s="106"/>
      <c r="AD91" s="106"/>
      <c r="AE91" s="106"/>
      <c r="AF91" s="106"/>
      <c r="AG91" s="106"/>
      <c r="AH91" s="106"/>
      <c r="AI91" s="106"/>
      <c r="AJ91" s="106"/>
      <c r="AK91" s="106"/>
      <c r="AL91" s="106"/>
      <c r="AM91" s="106"/>
      <c r="AN91" s="106"/>
    </row>
    <row r="92" spans="1:40" ht="20" customHeight="1">
      <c r="A92" s="104"/>
      <c r="B92" s="226"/>
      <c r="C92" s="104"/>
      <c r="D92" s="104"/>
      <c r="E92" s="104"/>
      <c r="F92" s="104"/>
      <c r="G92" s="104"/>
      <c r="H92" s="104"/>
      <c r="I92" s="104"/>
      <c r="J92" s="104"/>
      <c r="K92" s="104"/>
      <c r="L92" s="108"/>
      <c r="M92" s="226"/>
      <c r="N92" s="104"/>
      <c r="O92" s="104"/>
      <c r="P92" s="104"/>
      <c r="Q92" s="104"/>
      <c r="R92" s="104"/>
      <c r="S92" s="104"/>
      <c r="T92" s="104"/>
      <c r="U92" s="104"/>
      <c r="V92" s="104"/>
      <c r="W92" s="108"/>
      <c r="X92" s="106"/>
      <c r="Y92" s="106"/>
      <c r="Z92" s="106"/>
      <c r="AA92" s="106"/>
      <c r="AB92" s="106"/>
      <c r="AC92" s="106"/>
      <c r="AD92" s="106"/>
      <c r="AE92" s="106"/>
      <c r="AF92" s="106"/>
      <c r="AG92" s="106"/>
      <c r="AH92" s="106"/>
      <c r="AI92" s="106"/>
      <c r="AJ92" s="106"/>
      <c r="AK92" s="106"/>
      <c r="AL92" s="106"/>
      <c r="AM92" s="106"/>
      <c r="AN92" s="106"/>
    </row>
    <row r="93" spans="1:40" ht="20" customHeight="1">
      <c r="A93" s="104"/>
      <c r="B93" s="226"/>
      <c r="C93" s="104"/>
      <c r="D93" s="104"/>
      <c r="E93" s="104"/>
      <c r="F93" s="104"/>
      <c r="G93" s="104"/>
      <c r="H93" s="104"/>
      <c r="I93" s="104"/>
      <c r="J93" s="104"/>
      <c r="K93" s="104"/>
      <c r="L93" s="108"/>
      <c r="M93" s="226"/>
      <c r="N93" s="104"/>
      <c r="O93" s="104"/>
      <c r="P93" s="104"/>
      <c r="Q93" s="104"/>
      <c r="R93" s="104"/>
      <c r="S93" s="104"/>
      <c r="T93" s="104"/>
      <c r="U93" s="104"/>
      <c r="V93" s="104"/>
      <c r="W93" s="108"/>
      <c r="X93" s="106"/>
      <c r="Y93" s="106"/>
      <c r="Z93" s="106"/>
      <c r="AA93" s="106"/>
      <c r="AB93" s="106"/>
      <c r="AC93" s="106"/>
      <c r="AD93" s="106"/>
      <c r="AE93" s="106"/>
      <c r="AF93" s="106"/>
      <c r="AG93" s="106"/>
      <c r="AH93" s="106"/>
      <c r="AI93" s="106"/>
      <c r="AJ93" s="106"/>
      <c r="AK93" s="106"/>
      <c r="AL93" s="106"/>
      <c r="AM93" s="106"/>
      <c r="AN93" s="106"/>
    </row>
    <row r="94" spans="1:40" ht="20" customHeight="1">
      <c r="A94" s="104"/>
      <c r="B94" s="226"/>
      <c r="C94" s="104"/>
      <c r="D94" s="104"/>
      <c r="E94" s="104"/>
      <c r="F94" s="104"/>
      <c r="G94" s="104"/>
      <c r="H94" s="104"/>
      <c r="I94" s="104"/>
      <c r="J94" s="104"/>
      <c r="K94" s="104"/>
      <c r="L94" s="108"/>
      <c r="M94" s="226"/>
      <c r="N94" s="104"/>
      <c r="O94" s="104"/>
      <c r="P94" s="104"/>
      <c r="Q94" s="104"/>
      <c r="R94" s="104"/>
      <c r="S94" s="104"/>
      <c r="T94" s="104"/>
      <c r="U94" s="104"/>
      <c r="V94" s="104"/>
      <c r="W94" s="108"/>
      <c r="X94" s="106"/>
      <c r="Y94" s="106"/>
      <c r="Z94" s="106"/>
      <c r="AA94" s="106"/>
      <c r="AB94" s="106"/>
      <c r="AC94" s="106"/>
      <c r="AD94" s="106"/>
      <c r="AE94" s="106"/>
      <c r="AF94" s="106"/>
      <c r="AG94" s="106"/>
      <c r="AH94" s="106"/>
      <c r="AI94" s="106"/>
      <c r="AJ94" s="106"/>
      <c r="AK94" s="106"/>
      <c r="AL94" s="106"/>
      <c r="AM94" s="106"/>
      <c r="AN94" s="106"/>
    </row>
    <row r="95" spans="1:40" ht="20" customHeight="1">
      <c r="A95" s="104"/>
      <c r="B95" s="226"/>
      <c r="C95" s="104"/>
      <c r="D95" s="104"/>
      <c r="E95" s="104"/>
      <c r="F95" s="104"/>
      <c r="G95" s="104"/>
      <c r="H95" s="104"/>
      <c r="I95" s="104"/>
      <c r="J95" s="104"/>
      <c r="K95" s="104"/>
      <c r="L95" s="108"/>
      <c r="M95" s="226"/>
      <c r="N95" s="104"/>
      <c r="O95" s="104"/>
      <c r="P95" s="104"/>
      <c r="Q95" s="104"/>
      <c r="R95" s="104"/>
      <c r="S95" s="104"/>
      <c r="T95" s="104"/>
      <c r="U95" s="104"/>
      <c r="V95" s="104"/>
      <c r="W95" s="108"/>
      <c r="X95" s="106"/>
      <c r="Y95" s="106"/>
      <c r="Z95" s="106"/>
      <c r="AA95" s="106"/>
      <c r="AB95" s="106"/>
      <c r="AC95" s="106"/>
      <c r="AD95" s="106"/>
      <c r="AE95" s="106"/>
      <c r="AF95" s="106"/>
      <c r="AG95" s="106"/>
      <c r="AH95" s="106"/>
      <c r="AI95" s="106"/>
      <c r="AJ95" s="106"/>
      <c r="AK95" s="106"/>
      <c r="AL95" s="106"/>
      <c r="AM95" s="106"/>
      <c r="AN95" s="106"/>
    </row>
    <row r="96" spans="1:40" ht="20" customHeight="1">
      <c r="A96" s="104"/>
      <c r="B96" s="226"/>
      <c r="C96" s="104"/>
      <c r="D96" s="104"/>
      <c r="E96" s="104"/>
      <c r="F96" s="104"/>
      <c r="G96" s="104"/>
      <c r="H96" s="104"/>
      <c r="I96" s="104"/>
      <c r="J96" s="104"/>
      <c r="K96" s="104"/>
      <c r="L96" s="108"/>
      <c r="M96" s="226"/>
      <c r="N96" s="104"/>
      <c r="O96" s="104"/>
      <c r="P96" s="104"/>
      <c r="Q96" s="104"/>
      <c r="R96" s="104"/>
      <c r="S96" s="104"/>
      <c r="T96" s="104"/>
      <c r="U96" s="104"/>
      <c r="V96" s="104"/>
      <c r="W96" s="108"/>
      <c r="X96" s="106"/>
      <c r="Y96" s="106"/>
      <c r="Z96" s="106"/>
      <c r="AA96" s="106"/>
      <c r="AB96" s="106"/>
      <c r="AC96" s="106"/>
      <c r="AD96" s="106"/>
      <c r="AE96" s="106"/>
      <c r="AF96" s="106"/>
      <c r="AG96" s="106"/>
      <c r="AH96" s="106"/>
      <c r="AI96" s="106"/>
      <c r="AJ96" s="106"/>
      <c r="AK96" s="106"/>
      <c r="AL96" s="106"/>
      <c r="AM96" s="106"/>
      <c r="AN96" s="106"/>
    </row>
  </sheetData>
  <sheetProtection formatCells="0" formatColumns="0" formatRows="0" selectLockedCells="1" sort="0" autoFilter="0" pivotTables="0"/>
  <mergeCells count="13">
    <mergeCell ref="B9:D11"/>
    <mergeCell ref="M9:O11"/>
    <mergeCell ref="J10:J11"/>
    <mergeCell ref="J44:K44"/>
    <mergeCell ref="U12:V12"/>
    <mergeCell ref="U28:V28"/>
    <mergeCell ref="U44:V44"/>
    <mergeCell ref="B25:D27"/>
    <mergeCell ref="M25:O27"/>
    <mergeCell ref="B41:E43"/>
    <mergeCell ref="M41:O43"/>
    <mergeCell ref="J28:K28"/>
    <mergeCell ref="J12:K12"/>
  </mergeCells>
  <conditionalFormatting sqref="H13:H22">
    <cfRule type="expression" dxfId="110" priority="49">
      <formula>$H13&gt;0</formula>
    </cfRule>
  </conditionalFormatting>
  <conditionalFormatting sqref="H29:H38">
    <cfRule type="expression" dxfId="109" priority="45">
      <formula>$H29&gt;0</formula>
    </cfRule>
  </conditionalFormatting>
  <conditionalFormatting sqref="H45:H54">
    <cfRule type="expression" dxfId="108" priority="41">
      <formula>$H45&gt;0</formula>
    </cfRule>
  </conditionalFormatting>
  <conditionalFormatting sqref="I29:I38">
    <cfRule type="expression" dxfId="107" priority="123">
      <formula>M29=1</formula>
    </cfRule>
    <cfRule type="expression" dxfId="106" priority="122">
      <formula>M29=0</formula>
    </cfRule>
  </conditionalFormatting>
  <conditionalFormatting sqref="I45:I54">
    <cfRule type="expression" dxfId="105" priority="121">
      <formula>$L45=1</formula>
    </cfRule>
    <cfRule type="expression" dxfId="104" priority="120">
      <formula>$L45=0</formula>
    </cfRule>
  </conditionalFormatting>
  <conditionalFormatting sqref="K13:K23">
    <cfRule type="expression" dxfId="103" priority="48">
      <formula>$J13&gt;=$Y$8</formula>
    </cfRule>
    <cfRule type="expression" dxfId="102" priority="47">
      <formula>$J13&lt;$Y$8</formula>
    </cfRule>
    <cfRule type="expression" dxfId="101" priority="46">
      <formula>$J13&lt;$Y$9</formula>
    </cfRule>
  </conditionalFormatting>
  <conditionalFormatting sqref="K29:K38">
    <cfRule type="expression" dxfId="100" priority="44">
      <formula>$J29&gt;=$Y$8</formula>
    </cfRule>
  </conditionalFormatting>
  <conditionalFormatting sqref="K29:K39">
    <cfRule type="expression" dxfId="99" priority="23">
      <formula>$J29&lt;$Y$8</formula>
    </cfRule>
    <cfRule type="expression" dxfId="98" priority="22">
      <formula>$J29&lt;$Y$9</formula>
    </cfRule>
  </conditionalFormatting>
  <conditionalFormatting sqref="K39">
    <cfRule type="expression" dxfId="97" priority="24">
      <formula>$J39&gt;=$Y$8</formula>
    </cfRule>
  </conditionalFormatting>
  <conditionalFormatting sqref="K45:K54">
    <cfRule type="expression" dxfId="96" priority="40">
      <formula>$J45&gt;=$Y$8</formula>
    </cfRule>
  </conditionalFormatting>
  <conditionalFormatting sqref="K45:K55">
    <cfRule type="expression" dxfId="95" priority="11">
      <formula>$J45&lt;$Y$8</formula>
    </cfRule>
    <cfRule type="expression" dxfId="94" priority="10">
      <formula>$J45&lt;$Y$9</formula>
    </cfRule>
  </conditionalFormatting>
  <conditionalFormatting sqref="K55">
    <cfRule type="expression" dxfId="93" priority="12">
      <formula>$J55&gt;=$Y$8</formula>
    </cfRule>
  </conditionalFormatting>
  <conditionalFormatting sqref="S13:S22">
    <cfRule type="expression" dxfId="92" priority="34">
      <formula>$S13&gt;0</formula>
    </cfRule>
  </conditionalFormatting>
  <conditionalFormatting sqref="S29:S38">
    <cfRule type="expression" dxfId="91" priority="19">
      <formula>$S29&gt;0</formula>
    </cfRule>
  </conditionalFormatting>
  <conditionalFormatting sqref="S45:S54">
    <cfRule type="expression" dxfId="90" priority="4">
      <formula>$S45&gt;0</formula>
    </cfRule>
  </conditionalFormatting>
  <conditionalFormatting sqref="T29:T38">
    <cfRule type="expression" dxfId="89" priority="20">
      <formula>X29=0</formula>
    </cfRule>
    <cfRule type="expression" dxfId="88" priority="21">
      <formula>X29=1</formula>
    </cfRule>
  </conditionalFormatting>
  <conditionalFormatting sqref="T45:T54">
    <cfRule type="expression" dxfId="87" priority="6">
      <formula>X45=1</formula>
    </cfRule>
    <cfRule type="expression" dxfId="86" priority="5">
      <formula>X45=0</formula>
    </cfRule>
  </conditionalFormatting>
  <conditionalFormatting sqref="V13:V23">
    <cfRule type="expression" dxfId="85" priority="31">
      <formula>$U13&lt;$Y$9</formula>
    </cfRule>
    <cfRule type="expression" dxfId="84" priority="32">
      <formula>$U13&lt;$Y$8</formula>
    </cfRule>
    <cfRule type="expression" dxfId="83" priority="33">
      <formula>$U13&gt;=$Y$8</formula>
    </cfRule>
  </conditionalFormatting>
  <conditionalFormatting sqref="V29:V39">
    <cfRule type="expression" dxfId="82" priority="18">
      <formula>$U29&gt;=$Y$8</formula>
    </cfRule>
    <cfRule type="expression" dxfId="81" priority="17">
      <formula>$U29&lt;$Y$8</formula>
    </cfRule>
    <cfRule type="expression" dxfId="80" priority="16">
      <formula>$U29&lt;$Y$9</formula>
    </cfRule>
  </conditionalFormatting>
  <conditionalFormatting sqref="V45:V54">
    <cfRule type="expression" dxfId="79" priority="3">
      <formula>$U45&gt;=$Y$8</formula>
    </cfRule>
  </conditionalFormatting>
  <conditionalFormatting sqref="V45:V55">
    <cfRule type="expression" dxfId="78" priority="2">
      <formula>$U45&lt;$Y$8</formula>
    </cfRule>
    <cfRule type="expression" dxfId="77" priority="1">
      <formula>$U45&lt;$Y$9</formula>
    </cfRule>
  </conditionalFormatting>
  <conditionalFormatting sqref="V55">
    <cfRule type="expression" dxfId="76" priority="9">
      <formula>$U55&gt;=$Y$8</formula>
    </cfRule>
  </conditionalFormatting>
  <pageMargins left="0.25" right="0.25" top="0.75" bottom="0.75" header="0.3" footer="0.3"/>
  <pageSetup paperSize="9" scale="57" orientation="landscape" r:id="rId1"/>
  <rowBreaks count="1" manualBreakCount="1">
    <brk id="39" max="19"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94F6-A227-4A68-A6AA-A84D4AADB777}">
  <dimension ref="A1:X90"/>
  <sheetViews>
    <sheetView showGridLines="0" showRowColHeaders="0" tabSelected="1" zoomScaleNormal="100" workbookViewId="0"/>
  </sheetViews>
  <sheetFormatPr baseColWidth="10" defaultColWidth="11.5" defaultRowHeight="15"/>
  <cols>
    <col min="1" max="1" width="2.6640625" style="93" customWidth="1"/>
    <col min="2" max="2" width="12" style="151" customWidth="1"/>
    <col min="3" max="7" width="14.6640625" style="151" customWidth="1"/>
    <col min="8" max="8" width="1.33203125" style="151" customWidth="1"/>
    <col min="9" max="14" width="14.6640625" style="151" customWidth="1"/>
    <col min="15" max="15" width="1.83203125" style="93" customWidth="1"/>
    <col min="16" max="20" width="10.5" style="151" customWidth="1"/>
    <col min="21" max="16384" width="11.5" style="151"/>
  </cols>
  <sheetData>
    <row r="1" spans="1:24" s="268" customFormat="1" ht="39" customHeight="1">
      <c r="A1" s="266"/>
      <c r="B1" s="266"/>
      <c r="C1" s="266"/>
      <c r="D1" s="266"/>
      <c r="E1" s="266"/>
      <c r="F1" s="266"/>
      <c r="G1" s="266"/>
      <c r="H1" s="266"/>
      <c r="I1" s="266"/>
      <c r="J1" s="266"/>
      <c r="K1" s="266"/>
      <c r="L1" s="266"/>
      <c r="M1" s="266"/>
      <c r="N1" s="266"/>
      <c r="O1" s="266"/>
      <c r="P1" s="266"/>
      <c r="Q1" s="266"/>
      <c r="R1" s="266"/>
      <c r="S1" s="266"/>
    </row>
    <row r="2" spans="1:24" s="269" customFormat="1" ht="25" customHeight="1">
      <c r="A2" s="312"/>
      <c r="J2" s="312"/>
      <c r="K2" s="312"/>
      <c r="L2" s="388"/>
      <c r="P2" s="312"/>
      <c r="W2" s="388"/>
      <c r="X2" s="312"/>
    </row>
    <row r="3" spans="1:24" s="251" customFormat="1" ht="18" customHeight="1">
      <c r="A3" s="287"/>
      <c r="J3" s="287"/>
      <c r="K3" s="287"/>
      <c r="L3" s="384"/>
      <c r="P3" s="287"/>
      <c r="W3" s="384"/>
      <c r="X3" s="287"/>
    </row>
    <row r="4" spans="1:24" s="251" customFormat="1" ht="18" customHeight="1">
      <c r="A4" s="287"/>
      <c r="J4" s="287"/>
      <c r="K4" s="287"/>
      <c r="L4" s="384"/>
      <c r="P4" s="287"/>
      <c r="W4" s="384"/>
      <c r="X4" s="287"/>
    </row>
    <row r="5" spans="1:24" s="251" customFormat="1" ht="20" customHeight="1">
      <c r="A5" s="287"/>
      <c r="J5" s="287"/>
      <c r="K5" s="287"/>
      <c r="L5" s="384"/>
      <c r="P5" s="287"/>
      <c r="W5" s="384"/>
      <c r="X5" s="287"/>
    </row>
    <row r="6" spans="1:24" ht="20" customHeight="1">
      <c r="A6" s="106"/>
      <c r="B6" s="104"/>
      <c r="C6" s="104"/>
      <c r="D6" s="104"/>
      <c r="E6" s="104"/>
      <c r="F6" s="104"/>
      <c r="G6" s="104"/>
      <c r="H6" s="104"/>
      <c r="I6" s="104"/>
      <c r="J6" s="104"/>
      <c r="K6" s="104"/>
      <c r="L6" s="104"/>
      <c r="M6" s="104"/>
      <c r="N6" s="104"/>
      <c r="O6" s="106"/>
      <c r="P6" s="104"/>
      <c r="Q6" s="104"/>
      <c r="R6" s="104"/>
      <c r="S6" s="104"/>
      <c r="T6" s="104"/>
      <c r="U6" s="104"/>
      <c r="V6" s="104"/>
    </row>
    <row r="7" spans="1:24" ht="20" customHeight="1">
      <c r="A7" s="106"/>
      <c r="B7" s="237" t="str">
        <f>Lan!$F$87</f>
        <v>4.1. Dashboard Plan Estratégico</v>
      </c>
      <c r="C7" s="105"/>
      <c r="D7" s="105"/>
      <c r="E7" s="105"/>
      <c r="F7" s="105"/>
      <c r="G7" s="105"/>
      <c r="H7" s="104"/>
      <c r="I7" s="523"/>
      <c r="J7" s="523"/>
      <c r="K7" s="137"/>
      <c r="L7" s="104"/>
      <c r="M7" s="104"/>
      <c r="N7" s="104"/>
      <c r="O7" s="106"/>
      <c r="P7" s="104"/>
      <c r="Q7" s="104"/>
      <c r="R7" s="104"/>
      <c r="S7" s="104"/>
      <c r="T7" s="104"/>
      <c r="U7" s="104"/>
      <c r="V7" s="104"/>
    </row>
    <row r="8" spans="1:24" ht="20" customHeight="1">
      <c r="A8" s="106"/>
      <c r="B8" s="104"/>
      <c r="C8" s="386"/>
      <c r="D8" s="137"/>
      <c r="E8" s="104"/>
      <c r="F8" s="104"/>
      <c r="G8" s="104"/>
      <c r="H8" s="104"/>
      <c r="I8" s="104"/>
      <c r="J8" s="104"/>
      <c r="K8" s="137"/>
      <c r="L8" s="104"/>
      <c r="M8" s="104"/>
      <c r="N8" s="104"/>
      <c r="O8" s="106"/>
      <c r="P8" s="104"/>
      <c r="Q8" s="104"/>
      <c r="R8" s="104"/>
      <c r="S8" s="104"/>
      <c r="T8" s="104"/>
      <c r="U8" s="104"/>
      <c r="V8" s="104"/>
    </row>
    <row r="9" spans="1:24" ht="20" customHeight="1">
      <c r="A9" s="106"/>
      <c r="B9" s="395" t="str">
        <f>Lan!F76&amp;" "</f>
        <v xml:space="preserve">Seleccione </v>
      </c>
      <c r="C9" s="279" t="s">
        <v>75</v>
      </c>
      <c r="D9" s="396" t="s">
        <v>311</v>
      </c>
      <c r="E9" s="104"/>
      <c r="F9" s="104"/>
      <c r="G9" s="104"/>
      <c r="H9" s="104"/>
      <c r="I9" s="104"/>
      <c r="J9" s="104"/>
      <c r="K9" s="137"/>
      <c r="L9" s="104"/>
      <c r="M9" s="104"/>
      <c r="N9" s="104"/>
      <c r="O9" s="106"/>
      <c r="P9" s="104"/>
      <c r="Q9" s="104"/>
      <c r="R9" s="104"/>
      <c r="S9" s="104"/>
      <c r="T9" s="104"/>
      <c r="U9" s="104"/>
      <c r="V9" s="104"/>
    </row>
    <row r="10" spans="1:24" ht="20" customHeight="1">
      <c r="A10" s="106"/>
      <c r="B10" s="104"/>
      <c r="C10" s="386"/>
      <c r="D10" s="104"/>
      <c r="E10" s="104"/>
      <c r="F10" s="104"/>
      <c r="G10" s="104"/>
      <c r="H10" s="104"/>
      <c r="I10" s="104"/>
      <c r="J10" s="104"/>
      <c r="K10" s="104"/>
      <c r="L10" s="104"/>
      <c r="M10" s="104"/>
      <c r="N10" s="104"/>
      <c r="O10" s="106"/>
      <c r="P10" s="104"/>
      <c r="Q10" s="104"/>
      <c r="R10" s="104"/>
      <c r="S10" s="104"/>
      <c r="T10" s="104"/>
      <c r="U10" s="104"/>
      <c r="V10" s="104"/>
    </row>
    <row r="11" spans="1:24" s="394" customFormat="1" ht="20" customHeight="1">
      <c r="A11" s="393"/>
      <c r="B11" s="528" t="str">
        <f>Lan!F92</f>
        <v>Total Metas</v>
      </c>
      <c r="C11" s="528"/>
      <c r="D11" s="529" t="str">
        <f>Lan!F93</f>
        <v>Metas alcanzados</v>
      </c>
      <c r="E11" s="530"/>
      <c r="F11" s="547" t="str">
        <f>Lan!F94</f>
        <v>% de metas alcanzadas</v>
      </c>
      <c r="G11" s="530"/>
      <c r="H11" s="238"/>
      <c r="I11" s="528" t="str">
        <f>Lan!F97</f>
        <v>Total Metas</v>
      </c>
      <c r="J11" s="528"/>
      <c r="K11" s="529" t="str">
        <f>Lan!F98</f>
        <v>Objetivos alcanzados</v>
      </c>
      <c r="L11" s="530"/>
      <c r="M11" s="547" t="str">
        <f>Lan!F99</f>
        <v>% Objetivos alcanzados</v>
      </c>
      <c r="N11" s="530"/>
      <c r="O11" s="239"/>
      <c r="P11" s="238"/>
      <c r="Q11" s="238"/>
      <c r="R11" s="238"/>
      <c r="S11" s="238"/>
      <c r="T11" s="238"/>
      <c r="U11" s="238"/>
      <c r="V11" s="238"/>
    </row>
    <row r="12" spans="1:24" ht="20" customHeight="1">
      <c r="A12" s="106"/>
      <c r="B12" s="535">
        <f>AuxDash!B8</f>
        <v>6</v>
      </c>
      <c r="C12" s="536"/>
      <c r="D12" s="543">
        <f>AuxDash!C8</f>
        <v>3</v>
      </c>
      <c r="E12" s="543"/>
      <c r="F12" s="545">
        <f>IFERROR(D12/B12,0)</f>
        <v>0.5</v>
      </c>
      <c r="G12" s="545"/>
      <c r="H12" s="104"/>
      <c r="I12" s="539">
        <f>AuxDash!D17+AuxDash!E17</f>
        <v>10</v>
      </c>
      <c r="J12" s="540"/>
      <c r="K12" s="533">
        <f>AuxDash!D17</f>
        <v>7</v>
      </c>
      <c r="L12" s="533"/>
      <c r="M12" s="531">
        <f>IFERROR(K12/I12,0)</f>
        <v>0.7</v>
      </c>
      <c r="N12" s="531"/>
      <c r="O12" s="106"/>
      <c r="P12" s="104"/>
      <c r="Q12" s="104"/>
      <c r="R12" s="104"/>
      <c r="S12" s="104"/>
      <c r="T12" s="104"/>
      <c r="U12" s="104"/>
      <c r="V12" s="104"/>
    </row>
    <row r="13" spans="1:24" ht="20" customHeight="1">
      <c r="A13" s="106"/>
      <c r="B13" s="535"/>
      <c r="C13" s="536"/>
      <c r="D13" s="543"/>
      <c r="E13" s="543"/>
      <c r="F13" s="545"/>
      <c r="G13" s="545"/>
      <c r="H13" s="104"/>
      <c r="I13" s="539"/>
      <c r="J13" s="540"/>
      <c r="K13" s="533"/>
      <c r="L13" s="533"/>
      <c r="M13" s="531"/>
      <c r="N13" s="531"/>
      <c r="O13" s="106"/>
      <c r="P13" s="104"/>
      <c r="Q13" s="104"/>
      <c r="R13" s="104"/>
      <c r="S13" s="104"/>
      <c r="T13" s="104"/>
      <c r="U13" s="104"/>
      <c r="V13" s="104"/>
    </row>
    <row r="14" spans="1:24" ht="20" customHeight="1">
      <c r="A14" s="106"/>
      <c r="B14" s="535"/>
      <c r="C14" s="536"/>
      <c r="D14" s="543"/>
      <c r="E14" s="543"/>
      <c r="F14" s="545"/>
      <c r="G14" s="545"/>
      <c r="H14" s="104"/>
      <c r="I14" s="539"/>
      <c r="J14" s="540"/>
      <c r="K14" s="533"/>
      <c r="L14" s="533"/>
      <c r="M14" s="531"/>
      <c r="N14" s="531"/>
      <c r="O14" s="106"/>
      <c r="P14" s="104"/>
      <c r="Q14" s="104"/>
      <c r="R14" s="104"/>
      <c r="S14" s="104"/>
      <c r="T14" s="104"/>
      <c r="U14" s="104"/>
      <c r="V14" s="104"/>
    </row>
    <row r="15" spans="1:24" ht="20" customHeight="1" thickBot="1">
      <c r="A15" s="106"/>
      <c r="B15" s="535"/>
      <c r="C15" s="536"/>
      <c r="D15" s="544"/>
      <c r="E15" s="544"/>
      <c r="F15" s="546"/>
      <c r="G15" s="546"/>
      <c r="H15" s="104"/>
      <c r="I15" s="539"/>
      <c r="J15" s="540"/>
      <c r="K15" s="534"/>
      <c r="L15" s="534"/>
      <c r="M15" s="532"/>
      <c r="N15" s="532"/>
      <c r="O15" s="106"/>
      <c r="P15" s="104"/>
      <c r="Q15" s="109"/>
      <c r="R15" s="109"/>
      <c r="S15" s="109"/>
      <c r="T15" s="104"/>
      <c r="U15" s="104"/>
      <c r="V15" s="104"/>
    </row>
    <row r="16" spans="1:24" ht="20" customHeight="1">
      <c r="A16" s="106"/>
      <c r="B16" s="535"/>
      <c r="C16" s="536"/>
      <c r="D16" s="524" t="str">
        <f>Lan!F95</f>
        <v>Metas en peligro</v>
      </c>
      <c r="E16" s="525"/>
      <c r="F16" s="526" t="str">
        <f>Lan!F96</f>
        <v>% Metas en peligro</v>
      </c>
      <c r="G16" s="527"/>
      <c r="H16" s="104"/>
      <c r="I16" s="539"/>
      <c r="J16" s="540"/>
      <c r="K16" s="524" t="str">
        <f>Lan!F100</f>
        <v>Objetivos en peligro</v>
      </c>
      <c r="L16" s="525"/>
      <c r="M16" s="526" t="str">
        <f>Lan!F101</f>
        <v>% Objetivos en peligro</v>
      </c>
      <c r="N16" s="527"/>
      <c r="O16" s="106"/>
      <c r="P16" s="104"/>
      <c r="Q16" s="109"/>
      <c r="R16" s="109"/>
      <c r="S16" s="109"/>
      <c r="T16" s="104"/>
      <c r="U16" s="104"/>
      <c r="V16" s="104"/>
    </row>
    <row r="17" spans="1:22" ht="20" customHeight="1">
      <c r="A17" s="106"/>
      <c r="B17" s="535"/>
      <c r="C17" s="536"/>
      <c r="D17" s="554">
        <f>AuxDash!D8</f>
        <v>3</v>
      </c>
      <c r="E17" s="555"/>
      <c r="F17" s="558">
        <f>IFERROR(D17/B12,0)</f>
        <v>0.5</v>
      </c>
      <c r="G17" s="559"/>
      <c r="H17" s="104"/>
      <c r="I17" s="539"/>
      <c r="J17" s="540"/>
      <c r="K17" s="533">
        <f>AuxDash!E17</f>
        <v>3</v>
      </c>
      <c r="L17" s="533"/>
      <c r="M17" s="531">
        <f>IFERROR(K17/I12,0)</f>
        <v>0.3</v>
      </c>
      <c r="N17" s="531"/>
      <c r="O17" s="106"/>
      <c r="P17" s="104"/>
      <c r="Q17" s="109"/>
      <c r="R17" s="109"/>
      <c r="S17" s="109"/>
      <c r="T17" s="104"/>
      <c r="U17" s="104"/>
      <c r="V17" s="104"/>
    </row>
    <row r="18" spans="1:22" ht="20" customHeight="1">
      <c r="A18" s="106"/>
      <c r="B18" s="535"/>
      <c r="C18" s="536"/>
      <c r="D18" s="554"/>
      <c r="E18" s="555"/>
      <c r="F18" s="558"/>
      <c r="G18" s="559"/>
      <c r="H18" s="104"/>
      <c r="I18" s="539"/>
      <c r="J18" s="540"/>
      <c r="K18" s="533"/>
      <c r="L18" s="533"/>
      <c r="M18" s="531"/>
      <c r="N18" s="531"/>
      <c r="O18" s="106"/>
      <c r="P18" s="104"/>
      <c r="Q18" s="109"/>
      <c r="R18" s="109"/>
      <c r="S18" s="109"/>
      <c r="T18" s="104"/>
      <c r="U18" s="104"/>
      <c r="V18" s="104"/>
    </row>
    <row r="19" spans="1:22" ht="20" customHeight="1">
      <c r="A19" s="106"/>
      <c r="B19" s="535"/>
      <c r="C19" s="536"/>
      <c r="D19" s="554"/>
      <c r="E19" s="555"/>
      <c r="F19" s="558"/>
      <c r="G19" s="559"/>
      <c r="H19" s="104"/>
      <c r="I19" s="539"/>
      <c r="J19" s="540"/>
      <c r="K19" s="533"/>
      <c r="L19" s="533"/>
      <c r="M19" s="531"/>
      <c r="N19" s="531"/>
      <c r="O19" s="106"/>
      <c r="P19" s="104"/>
      <c r="Q19" s="109"/>
      <c r="R19" s="109"/>
      <c r="S19" s="109"/>
      <c r="T19" s="104"/>
      <c r="U19" s="104"/>
      <c r="V19" s="104"/>
    </row>
    <row r="20" spans="1:22" ht="20" customHeight="1" thickBot="1">
      <c r="A20" s="106"/>
      <c r="B20" s="537"/>
      <c r="C20" s="538"/>
      <c r="D20" s="556"/>
      <c r="E20" s="557"/>
      <c r="F20" s="560"/>
      <c r="G20" s="561"/>
      <c r="H20" s="104"/>
      <c r="I20" s="541"/>
      <c r="J20" s="542"/>
      <c r="K20" s="552"/>
      <c r="L20" s="552"/>
      <c r="M20" s="553"/>
      <c r="N20" s="553"/>
      <c r="O20" s="106"/>
      <c r="P20" s="104"/>
      <c r="Q20" s="104"/>
      <c r="R20" s="104"/>
      <c r="S20" s="104"/>
      <c r="T20" s="104"/>
      <c r="U20" s="104"/>
      <c r="V20" s="104"/>
    </row>
    <row r="21" spans="1:22" ht="7.25" customHeight="1" thickTop="1">
      <c r="A21" s="106"/>
      <c r="B21" s="139"/>
      <c r="C21" s="139"/>
      <c r="D21" s="104"/>
      <c r="E21" s="104"/>
      <c r="F21" s="104"/>
      <c r="G21" s="104"/>
      <c r="H21" s="104"/>
      <c r="I21" s="140"/>
      <c r="J21" s="140"/>
      <c r="K21" s="104"/>
      <c r="L21" s="104"/>
      <c r="M21" s="104"/>
      <c r="N21" s="104"/>
      <c r="O21" s="106"/>
      <c r="P21" s="104"/>
      <c r="Q21" s="104"/>
      <c r="R21" s="104"/>
      <c r="S21" s="104"/>
      <c r="T21" s="104"/>
      <c r="U21" s="104"/>
      <c r="V21" s="104"/>
    </row>
    <row r="22" spans="1:22" ht="20" customHeight="1">
      <c r="A22" s="106"/>
      <c r="B22" s="562" t="str">
        <f>Lan!F102</f>
        <v>Promedio Metas alcanzadas</v>
      </c>
      <c r="C22" s="562"/>
      <c r="D22" s="564"/>
      <c r="E22" s="562" t="str">
        <f>Lan!F102</f>
        <v>Promedio Metas alcanzadas</v>
      </c>
      <c r="F22" s="562"/>
      <c r="G22" s="567"/>
      <c r="H22" s="104"/>
      <c r="I22" s="548" t="str">
        <f>Lan!F115</f>
        <v>Objetivos</v>
      </c>
      <c r="J22" s="548"/>
      <c r="K22" s="548"/>
      <c r="L22" s="548"/>
      <c r="M22" s="548"/>
      <c r="N22" s="548"/>
      <c r="O22" s="106"/>
      <c r="P22" s="104"/>
      <c r="Q22" s="104"/>
      <c r="R22" s="104"/>
      <c r="S22" s="104"/>
      <c r="T22" s="104"/>
      <c r="U22" s="104"/>
      <c r="V22" s="104"/>
    </row>
    <row r="23" spans="1:22" ht="20" customHeight="1" thickBot="1">
      <c r="A23" s="106"/>
      <c r="B23" s="563" t="str">
        <f>Lan!F103</f>
        <v>Mejor dirección = Arriba</v>
      </c>
      <c r="C23" s="563"/>
      <c r="D23" s="564"/>
      <c r="E23" s="563" t="str">
        <f>Lan!F104</f>
        <v>Mejor dirección = Abajo</v>
      </c>
      <c r="F23" s="563"/>
      <c r="G23" s="567"/>
      <c r="H23" s="104"/>
      <c r="I23" s="114"/>
      <c r="J23" s="114"/>
      <c r="K23" s="114"/>
      <c r="L23" s="114"/>
      <c r="M23" s="114"/>
      <c r="N23" s="114"/>
      <c r="O23" s="106"/>
      <c r="P23" s="104"/>
      <c r="Q23" s="104"/>
      <c r="R23" s="104"/>
      <c r="S23" s="104"/>
      <c r="T23" s="104"/>
      <c r="U23" s="104"/>
      <c r="V23" s="104"/>
    </row>
    <row r="24" spans="1:22" ht="20" customHeight="1" thickTop="1">
      <c r="A24" s="106"/>
      <c r="B24" s="549">
        <f>AuxDash!G17</f>
        <v>1.008097853375878</v>
      </c>
      <c r="C24" s="549"/>
      <c r="D24" s="549"/>
      <c r="E24" s="549">
        <f>AuxDash!H17</f>
        <v>1.2749999999999999</v>
      </c>
      <c r="F24" s="550"/>
      <c r="G24" s="550"/>
      <c r="H24" s="104"/>
      <c r="I24" s="114"/>
      <c r="J24" s="114"/>
      <c r="K24" s="114"/>
      <c r="L24" s="114"/>
      <c r="M24" s="114"/>
      <c r="N24" s="114"/>
      <c r="O24" s="106"/>
      <c r="P24" s="104"/>
      <c r="Q24" s="104"/>
      <c r="R24" s="104"/>
      <c r="S24" s="104"/>
      <c r="T24" s="104"/>
      <c r="U24" s="104"/>
      <c r="V24" s="104"/>
    </row>
    <row r="25" spans="1:22" ht="20" customHeight="1">
      <c r="A25" s="106"/>
      <c r="B25" s="565"/>
      <c r="C25" s="565"/>
      <c r="D25" s="565"/>
      <c r="E25" s="543"/>
      <c r="F25" s="543"/>
      <c r="G25" s="543"/>
      <c r="H25" s="104"/>
      <c r="I25" s="114"/>
      <c r="J25" s="114"/>
      <c r="K25" s="114"/>
      <c r="L25" s="114"/>
      <c r="M25" s="114"/>
      <c r="N25" s="114"/>
      <c r="O25" s="106"/>
      <c r="P25" s="104"/>
      <c r="Q25" s="104"/>
      <c r="R25" s="104"/>
      <c r="S25" s="104"/>
      <c r="T25" s="104"/>
      <c r="U25" s="104"/>
      <c r="V25" s="104"/>
    </row>
    <row r="26" spans="1:22" ht="20" customHeight="1">
      <c r="A26" s="106"/>
      <c r="B26" s="565"/>
      <c r="C26" s="565"/>
      <c r="D26" s="565"/>
      <c r="E26" s="543"/>
      <c r="F26" s="543"/>
      <c r="G26" s="543"/>
      <c r="H26" s="104"/>
      <c r="I26" s="114"/>
      <c r="J26" s="114"/>
      <c r="K26" s="114"/>
      <c r="L26" s="114"/>
      <c r="M26" s="114"/>
      <c r="N26" s="114"/>
      <c r="O26" s="106"/>
      <c r="P26" s="104"/>
      <c r="Q26" s="104"/>
      <c r="R26" s="104"/>
      <c r="S26" s="104"/>
      <c r="T26" s="104"/>
      <c r="U26" s="104"/>
      <c r="V26" s="104"/>
    </row>
    <row r="27" spans="1:22" ht="20" customHeight="1">
      <c r="A27" s="106"/>
      <c r="B27" s="565"/>
      <c r="C27" s="565"/>
      <c r="D27" s="565"/>
      <c r="E27" s="543"/>
      <c r="F27" s="543"/>
      <c r="G27" s="543"/>
      <c r="H27" s="104"/>
      <c r="I27" s="114"/>
      <c r="J27" s="114"/>
      <c r="K27" s="114"/>
      <c r="L27" s="114"/>
      <c r="M27" s="114"/>
      <c r="N27" s="114"/>
      <c r="O27" s="106"/>
      <c r="P27" s="104"/>
      <c r="Q27" s="104"/>
      <c r="R27" s="104"/>
      <c r="S27" s="104"/>
      <c r="T27" s="104"/>
      <c r="U27" s="104"/>
      <c r="V27" s="104"/>
    </row>
    <row r="28" spans="1:22" ht="20" customHeight="1">
      <c r="A28" s="106"/>
      <c r="B28" s="565"/>
      <c r="C28" s="565"/>
      <c r="D28" s="565"/>
      <c r="E28" s="543"/>
      <c r="F28" s="543"/>
      <c r="G28" s="543"/>
      <c r="H28" s="104"/>
      <c r="I28" s="114"/>
      <c r="J28" s="114"/>
      <c r="K28" s="114"/>
      <c r="L28" s="114"/>
      <c r="M28" s="114"/>
      <c r="N28" s="114"/>
      <c r="O28" s="106"/>
      <c r="P28" s="104"/>
      <c r="Q28" s="104"/>
      <c r="R28" s="104"/>
      <c r="S28" s="104"/>
      <c r="T28" s="104"/>
      <c r="U28" s="104"/>
      <c r="V28" s="104"/>
    </row>
    <row r="29" spans="1:22" ht="20" customHeight="1">
      <c r="A29" s="106"/>
      <c r="B29" s="565"/>
      <c r="C29" s="565"/>
      <c r="D29" s="565"/>
      <c r="E29" s="543"/>
      <c r="F29" s="543"/>
      <c r="G29" s="543"/>
      <c r="H29" s="104"/>
      <c r="I29" s="114"/>
      <c r="J29" s="114"/>
      <c r="K29" s="114"/>
      <c r="L29" s="114"/>
      <c r="M29" s="114"/>
      <c r="N29" s="114"/>
      <c r="O29" s="106"/>
      <c r="P29" s="104"/>
      <c r="Q29" s="104"/>
      <c r="R29" s="104"/>
      <c r="S29" s="104"/>
      <c r="T29" s="104"/>
      <c r="U29" s="104"/>
      <c r="V29" s="104"/>
    </row>
    <row r="30" spans="1:22" ht="20" customHeight="1">
      <c r="A30" s="106"/>
      <c r="B30" s="565"/>
      <c r="C30" s="565"/>
      <c r="D30" s="565"/>
      <c r="E30" s="543"/>
      <c r="F30" s="543"/>
      <c r="G30" s="543"/>
      <c r="H30" s="104"/>
      <c r="I30" s="114"/>
      <c r="J30" s="114"/>
      <c r="K30" s="114"/>
      <c r="L30" s="114"/>
      <c r="M30" s="114"/>
      <c r="N30" s="114"/>
      <c r="O30" s="106"/>
      <c r="P30" s="104"/>
      <c r="Q30" s="104"/>
      <c r="R30" s="104"/>
      <c r="S30" s="104"/>
      <c r="T30" s="104"/>
      <c r="U30" s="104"/>
      <c r="V30" s="104"/>
    </row>
    <row r="31" spans="1:22" ht="20" customHeight="1" thickBot="1">
      <c r="A31" s="106"/>
      <c r="B31" s="566"/>
      <c r="C31" s="566"/>
      <c r="D31" s="566"/>
      <c r="E31" s="551"/>
      <c r="F31" s="551"/>
      <c r="G31" s="551"/>
      <c r="H31" s="104"/>
      <c r="I31" s="114"/>
      <c r="J31" s="114"/>
      <c r="K31" s="114"/>
      <c r="L31" s="114"/>
      <c r="M31" s="114"/>
      <c r="N31" s="114"/>
      <c r="O31" s="106"/>
      <c r="P31" s="104"/>
      <c r="Q31" s="104"/>
      <c r="R31" s="104"/>
      <c r="S31" s="104"/>
      <c r="T31" s="104"/>
      <c r="U31" s="104"/>
      <c r="V31" s="104"/>
    </row>
    <row r="32" spans="1:22" ht="9.5" customHeight="1" thickTop="1">
      <c r="A32" s="106"/>
      <c r="B32" s="104"/>
      <c r="C32" s="104"/>
      <c r="D32" s="104"/>
      <c r="E32" s="104"/>
      <c r="F32" s="104"/>
      <c r="G32" s="104"/>
      <c r="H32" s="104"/>
      <c r="I32" s="104"/>
      <c r="J32" s="104"/>
      <c r="K32" s="104"/>
      <c r="L32" s="104"/>
      <c r="M32" s="104"/>
      <c r="N32" s="104"/>
      <c r="O32" s="106"/>
      <c r="P32" s="104"/>
      <c r="Q32" s="104"/>
      <c r="R32" s="104"/>
      <c r="S32" s="104"/>
      <c r="T32" s="104"/>
      <c r="U32" s="104"/>
      <c r="V32" s="104"/>
    </row>
    <row r="33" spans="1:22" ht="20" customHeight="1">
      <c r="A33" s="106"/>
      <c r="B33" s="104"/>
      <c r="C33" s="104"/>
      <c r="D33" s="104"/>
      <c r="E33" s="104"/>
      <c r="F33" s="104"/>
      <c r="G33" s="104"/>
      <c r="H33" s="104"/>
      <c r="I33" s="104"/>
      <c r="J33" s="104"/>
      <c r="K33" s="104"/>
      <c r="L33" s="104"/>
      <c r="M33" s="104"/>
      <c r="N33" s="104"/>
      <c r="O33" s="106"/>
      <c r="P33" s="104"/>
      <c r="Q33" s="104"/>
      <c r="R33" s="104"/>
      <c r="S33" s="104"/>
      <c r="T33" s="104"/>
      <c r="U33" s="104"/>
      <c r="V33" s="104"/>
    </row>
    <row r="34" spans="1:22" ht="20" customHeight="1">
      <c r="A34" s="106"/>
      <c r="B34" s="104"/>
      <c r="C34" s="104"/>
      <c r="D34" s="104"/>
      <c r="E34" s="104"/>
      <c r="F34" s="104"/>
      <c r="G34" s="104"/>
      <c r="H34" s="104"/>
      <c r="I34" s="104"/>
      <c r="J34" s="104"/>
      <c r="K34" s="104"/>
      <c r="L34" s="104"/>
      <c r="M34" s="104"/>
      <c r="N34" s="104"/>
      <c r="O34" s="106"/>
      <c r="P34" s="104"/>
      <c r="Q34" s="104"/>
      <c r="R34" s="104"/>
      <c r="S34" s="104"/>
      <c r="T34" s="104"/>
      <c r="U34" s="104"/>
      <c r="V34" s="104"/>
    </row>
    <row r="35" spans="1:22" ht="20" customHeight="1">
      <c r="A35" s="106"/>
      <c r="B35" s="104"/>
      <c r="C35" s="104"/>
      <c r="D35" s="104"/>
      <c r="E35" s="104"/>
      <c r="F35" s="104"/>
      <c r="G35" s="104"/>
      <c r="H35" s="104"/>
      <c r="I35" s="104"/>
      <c r="J35" s="104"/>
      <c r="K35" s="104"/>
      <c r="L35" s="104"/>
      <c r="M35" s="104"/>
      <c r="N35" s="104"/>
      <c r="O35" s="106"/>
      <c r="P35" s="104"/>
      <c r="Q35" s="104"/>
      <c r="R35" s="104"/>
      <c r="S35" s="104"/>
      <c r="T35" s="104"/>
      <c r="U35" s="104"/>
      <c r="V35" s="104"/>
    </row>
    <row r="36" spans="1:22" ht="20" customHeight="1">
      <c r="A36" s="106"/>
      <c r="B36" s="104"/>
      <c r="C36" s="104"/>
      <c r="D36" s="137"/>
      <c r="E36" s="137"/>
      <c r="F36" s="137"/>
      <c r="G36" s="104"/>
      <c r="H36" s="104"/>
      <c r="I36" s="104"/>
      <c r="J36" s="104"/>
      <c r="K36" s="104"/>
      <c r="L36" s="104"/>
      <c r="M36" s="104"/>
      <c r="N36" s="104"/>
      <c r="O36" s="106"/>
      <c r="P36" s="104"/>
      <c r="Q36" s="104"/>
      <c r="R36" s="104"/>
      <c r="S36" s="104"/>
      <c r="T36" s="104"/>
      <c r="U36" s="104"/>
      <c r="V36" s="104"/>
    </row>
    <row r="37" spans="1:22" ht="20" customHeight="1">
      <c r="A37" s="106"/>
      <c r="B37" s="104"/>
      <c r="C37" s="104"/>
      <c r="D37" s="137"/>
      <c r="E37" s="137"/>
      <c r="F37" s="137"/>
      <c r="G37" s="104"/>
      <c r="H37" s="104"/>
      <c r="I37" s="104"/>
      <c r="J37" s="104"/>
      <c r="K37" s="104"/>
      <c r="L37" s="104"/>
      <c r="M37" s="104"/>
      <c r="N37" s="104"/>
      <c r="O37" s="106"/>
      <c r="P37" s="104"/>
      <c r="Q37" s="104"/>
      <c r="R37" s="104"/>
      <c r="S37" s="104"/>
      <c r="T37" s="104"/>
      <c r="U37" s="104"/>
      <c r="V37" s="104"/>
    </row>
    <row r="38" spans="1:22" ht="20" customHeight="1">
      <c r="A38" s="106"/>
      <c r="B38" s="141"/>
      <c r="C38" s="141"/>
      <c r="D38" s="142">
        <f>IF(AuxDash!G17&gt;=AuxDash!D2,0,AuxDash!G17)</f>
        <v>0</v>
      </c>
      <c r="E38" s="142">
        <f>IF(AuxDash!H17&lt;=AuxDash!D2,0,AuxDash!H17)</f>
        <v>1.2749999999999999</v>
      </c>
      <c r="F38" s="137"/>
      <c r="G38" s="104"/>
      <c r="H38" s="104"/>
      <c r="I38" s="104"/>
      <c r="J38" s="104"/>
      <c r="K38" s="104"/>
      <c r="L38" s="104"/>
      <c r="M38" s="104"/>
      <c r="N38" s="104"/>
      <c r="O38" s="106"/>
      <c r="P38" s="104"/>
      <c r="Q38" s="104"/>
      <c r="R38" s="104"/>
      <c r="S38" s="104"/>
      <c r="T38" s="104"/>
      <c r="U38" s="104"/>
      <c r="V38" s="104"/>
    </row>
    <row r="39" spans="1:22" ht="20" customHeight="1">
      <c r="A39" s="106"/>
      <c r="B39" s="141">
        <f>AuxDash!C8</f>
        <v>3</v>
      </c>
      <c r="C39" s="141"/>
      <c r="D39" s="143">
        <f>IF(AuxDash!G17&gt;=AuxDash!D2,AuxDash!G17,0)</f>
        <v>1.008097853375878</v>
      </c>
      <c r="E39" s="143">
        <f>IF(AuxDash!H17&lt;=AuxDash!D2,AuxDash!H17,0)</f>
        <v>0</v>
      </c>
      <c r="F39" s="137"/>
      <c r="G39" s="104"/>
      <c r="H39" s="104"/>
      <c r="I39" s="104"/>
      <c r="J39" s="104"/>
      <c r="K39" s="104"/>
      <c r="L39" s="104"/>
      <c r="M39" s="104"/>
      <c r="N39" s="104"/>
      <c r="O39" s="106"/>
      <c r="P39" s="104"/>
      <c r="Q39" s="104"/>
      <c r="R39" s="104"/>
      <c r="S39" s="104"/>
      <c r="T39" s="104"/>
      <c r="U39" s="104"/>
      <c r="V39" s="104"/>
    </row>
    <row r="40" spans="1:22" ht="20" customHeight="1">
      <c r="A40" s="106"/>
      <c r="B40" s="141">
        <f>AuxDash!D8</f>
        <v>3</v>
      </c>
      <c r="C40" s="141"/>
      <c r="D40" s="142">
        <f>IF(D38&gt;1,0,IF(D39&gt;1,0,IF(D39&gt;0,1-D39,IF(D38&gt;0,1-D38))))</f>
        <v>0</v>
      </c>
      <c r="E40" s="142">
        <f>IF(E38&gt;1,0,IF(E39&gt;1,0,IF(E39&gt;0,1-E39,IF(E38&gt;0,1-E38))))</f>
        <v>0</v>
      </c>
      <c r="F40" s="137"/>
      <c r="G40" s="104"/>
      <c r="H40" s="104"/>
      <c r="I40" s="104"/>
      <c r="J40" s="104"/>
      <c r="K40" s="104"/>
      <c r="L40" s="104"/>
      <c r="M40" s="104"/>
      <c r="N40" s="104"/>
      <c r="O40" s="106"/>
      <c r="P40" s="104"/>
      <c r="Q40" s="104"/>
      <c r="R40" s="104"/>
      <c r="S40" s="104"/>
      <c r="T40" s="104"/>
      <c r="U40" s="104"/>
      <c r="V40" s="104"/>
    </row>
    <row r="41" spans="1:22" ht="20" customHeight="1">
      <c r="A41" s="106"/>
      <c r="B41" s="104"/>
      <c r="C41" s="104"/>
      <c r="D41" s="137"/>
      <c r="E41" s="137"/>
      <c r="F41" s="137"/>
      <c r="G41" s="104"/>
      <c r="H41" s="104"/>
      <c r="I41" s="104"/>
      <c r="J41" s="104"/>
      <c r="K41" s="104"/>
      <c r="L41" s="104"/>
      <c r="M41" s="104"/>
      <c r="N41" s="104"/>
      <c r="O41" s="106"/>
      <c r="P41" s="104"/>
      <c r="Q41" s="104"/>
      <c r="R41" s="104"/>
      <c r="S41" s="104"/>
      <c r="T41" s="104"/>
      <c r="U41" s="104"/>
      <c r="V41" s="104"/>
    </row>
    <row r="42" spans="1:22" ht="20" customHeight="1">
      <c r="A42" s="106"/>
      <c r="B42" s="104"/>
      <c r="C42" s="104"/>
      <c r="D42" s="104"/>
      <c r="E42" s="104"/>
      <c r="F42" s="104"/>
      <c r="G42" s="104"/>
      <c r="H42" s="104"/>
      <c r="I42" s="104"/>
      <c r="J42" s="104"/>
      <c r="K42" s="104"/>
      <c r="L42" s="104"/>
      <c r="M42" s="104"/>
      <c r="N42" s="104"/>
      <c r="O42" s="106"/>
      <c r="P42" s="104"/>
      <c r="Q42" s="104"/>
      <c r="R42" s="104"/>
      <c r="S42" s="104"/>
      <c r="T42" s="104"/>
      <c r="U42" s="104"/>
      <c r="V42" s="104"/>
    </row>
    <row r="43" spans="1:22" ht="20" customHeight="1">
      <c r="A43" s="106"/>
      <c r="B43" s="104"/>
      <c r="C43" s="104"/>
      <c r="D43" s="104"/>
      <c r="E43" s="104"/>
      <c r="F43" s="104"/>
      <c r="G43" s="104"/>
      <c r="H43" s="104"/>
      <c r="I43" s="104"/>
      <c r="J43" s="104"/>
      <c r="K43" s="104"/>
      <c r="L43" s="104"/>
      <c r="M43" s="104"/>
      <c r="N43" s="104"/>
      <c r="O43" s="106"/>
      <c r="P43" s="104"/>
      <c r="Q43" s="104"/>
      <c r="R43" s="104"/>
      <c r="S43" s="104"/>
      <c r="T43" s="104"/>
      <c r="U43" s="104"/>
      <c r="V43" s="104"/>
    </row>
    <row r="44" spans="1:22" ht="20" customHeight="1">
      <c r="A44" s="106"/>
      <c r="B44" s="104"/>
      <c r="C44" s="104"/>
      <c r="D44" s="104"/>
      <c r="E44" s="104"/>
      <c r="F44" s="104"/>
      <c r="G44" s="104"/>
      <c r="H44" s="104"/>
      <c r="I44" s="104"/>
      <c r="J44" s="104"/>
      <c r="K44" s="104"/>
      <c r="L44" s="104"/>
      <c r="M44" s="104"/>
      <c r="N44" s="104"/>
      <c r="O44" s="106"/>
      <c r="P44" s="104"/>
      <c r="Q44" s="104"/>
      <c r="R44" s="104"/>
      <c r="S44" s="104"/>
      <c r="T44" s="104"/>
      <c r="U44" s="104"/>
      <c r="V44" s="104"/>
    </row>
    <row r="45" spans="1:22" ht="20" customHeight="1">
      <c r="A45" s="106"/>
      <c r="B45" s="104"/>
      <c r="C45" s="104"/>
      <c r="D45" s="104"/>
      <c r="E45" s="104"/>
      <c r="F45" s="104"/>
      <c r="G45" s="104"/>
      <c r="H45" s="104"/>
      <c r="I45" s="104"/>
      <c r="J45" s="104"/>
      <c r="K45" s="104"/>
      <c r="L45" s="104"/>
      <c r="M45" s="104"/>
      <c r="N45" s="104"/>
      <c r="O45" s="106"/>
      <c r="P45" s="104"/>
      <c r="Q45" s="104"/>
      <c r="R45" s="104"/>
      <c r="S45" s="104"/>
      <c r="T45" s="104"/>
      <c r="U45" s="104"/>
      <c r="V45" s="104"/>
    </row>
    <row r="46" spans="1:22" ht="20" customHeight="1">
      <c r="A46" s="106"/>
      <c r="B46" s="104"/>
      <c r="C46" s="104"/>
      <c r="D46" s="104"/>
      <c r="E46" s="104"/>
      <c r="F46" s="104"/>
      <c r="G46" s="104"/>
      <c r="H46" s="104"/>
      <c r="I46" s="104"/>
      <c r="J46" s="104"/>
      <c r="K46" s="104"/>
      <c r="L46" s="104"/>
      <c r="M46" s="104"/>
      <c r="N46" s="104"/>
      <c r="O46" s="106"/>
      <c r="P46" s="104"/>
      <c r="Q46" s="104"/>
      <c r="R46" s="104"/>
      <c r="S46" s="104"/>
      <c r="T46" s="104"/>
      <c r="U46" s="104"/>
      <c r="V46" s="104"/>
    </row>
    <row r="47" spans="1:22" ht="20" customHeight="1">
      <c r="A47" s="106"/>
      <c r="B47" s="104"/>
      <c r="C47" s="104"/>
      <c r="D47" s="104"/>
      <c r="E47" s="104"/>
      <c r="F47" s="104"/>
      <c r="G47" s="104"/>
      <c r="H47" s="104"/>
      <c r="I47" s="104"/>
      <c r="J47" s="104"/>
      <c r="K47" s="104"/>
      <c r="L47" s="104"/>
      <c r="M47" s="104"/>
      <c r="N47" s="104"/>
      <c r="O47" s="106"/>
      <c r="P47" s="104"/>
      <c r="Q47" s="104"/>
      <c r="R47" s="104"/>
      <c r="S47" s="104"/>
      <c r="T47" s="104"/>
      <c r="U47" s="104"/>
      <c r="V47" s="104"/>
    </row>
    <row r="48" spans="1:22" ht="20" customHeight="1">
      <c r="A48" s="106"/>
      <c r="B48" s="104"/>
      <c r="C48" s="104"/>
      <c r="D48" s="104"/>
      <c r="E48" s="104"/>
      <c r="F48" s="104"/>
      <c r="G48" s="104"/>
      <c r="H48" s="104"/>
      <c r="I48" s="104"/>
      <c r="J48" s="104"/>
      <c r="K48" s="104"/>
      <c r="L48" s="104"/>
      <c r="M48" s="104"/>
      <c r="N48" s="104"/>
      <c r="O48" s="106"/>
      <c r="P48" s="104"/>
      <c r="Q48" s="104"/>
      <c r="R48" s="104"/>
      <c r="S48" s="104"/>
      <c r="T48" s="104"/>
      <c r="U48" s="104"/>
      <c r="V48" s="104"/>
    </row>
    <row r="49" spans="1:22" ht="20" customHeight="1">
      <c r="A49" s="106"/>
      <c r="B49" s="104"/>
      <c r="C49" s="104"/>
      <c r="D49" s="104"/>
      <c r="E49" s="104"/>
      <c r="F49" s="104"/>
      <c r="G49" s="104"/>
      <c r="H49" s="104"/>
      <c r="I49" s="104"/>
      <c r="J49" s="104"/>
      <c r="K49" s="104"/>
      <c r="L49" s="104"/>
      <c r="M49" s="104"/>
      <c r="N49" s="104"/>
      <c r="O49" s="106"/>
      <c r="P49" s="104"/>
      <c r="Q49" s="104"/>
      <c r="R49" s="104"/>
      <c r="S49" s="104"/>
      <c r="T49" s="104"/>
      <c r="U49" s="104"/>
      <c r="V49" s="104"/>
    </row>
    <row r="50" spans="1:22" ht="20" customHeight="1">
      <c r="A50" s="106"/>
      <c r="B50" s="104"/>
      <c r="C50" s="104"/>
      <c r="D50" s="104"/>
      <c r="E50" s="104"/>
      <c r="F50" s="104"/>
      <c r="G50" s="104"/>
      <c r="H50" s="104"/>
      <c r="I50" s="104"/>
      <c r="J50" s="104"/>
      <c r="K50" s="104"/>
      <c r="L50" s="104"/>
      <c r="M50" s="104"/>
      <c r="N50" s="104"/>
      <c r="O50" s="106"/>
      <c r="P50" s="104"/>
      <c r="Q50" s="104"/>
      <c r="R50" s="104"/>
      <c r="S50" s="104"/>
      <c r="T50" s="104"/>
      <c r="U50" s="104"/>
      <c r="V50" s="104"/>
    </row>
    <row r="51" spans="1:22" ht="20" customHeight="1">
      <c r="A51" s="106"/>
      <c r="B51" s="104"/>
      <c r="C51" s="104"/>
      <c r="D51" s="104"/>
      <c r="E51" s="104"/>
      <c r="F51" s="104"/>
      <c r="G51" s="104"/>
      <c r="H51" s="104"/>
      <c r="I51" s="104"/>
      <c r="J51" s="104"/>
      <c r="K51" s="104"/>
      <c r="L51" s="104"/>
      <c r="M51" s="104"/>
      <c r="N51" s="104"/>
      <c r="O51" s="106"/>
      <c r="P51" s="104"/>
      <c r="Q51" s="104"/>
      <c r="R51" s="104"/>
      <c r="S51" s="104"/>
      <c r="T51" s="104"/>
      <c r="U51" s="104"/>
      <c r="V51" s="104"/>
    </row>
    <row r="52" spans="1:22" ht="20" customHeight="1">
      <c r="A52" s="106"/>
      <c r="B52" s="104"/>
      <c r="C52" s="104"/>
      <c r="D52" s="104"/>
      <c r="E52" s="104"/>
      <c r="F52" s="104"/>
      <c r="G52" s="104"/>
      <c r="H52" s="104"/>
      <c r="I52" s="104"/>
      <c r="J52" s="104"/>
      <c r="K52" s="104"/>
      <c r="L52" s="104"/>
      <c r="M52" s="104"/>
      <c r="N52" s="104"/>
      <c r="O52" s="106"/>
      <c r="P52" s="104"/>
      <c r="Q52" s="104"/>
      <c r="R52" s="104"/>
      <c r="S52" s="104"/>
      <c r="T52" s="104"/>
      <c r="U52" s="104"/>
      <c r="V52" s="104"/>
    </row>
    <row r="53" spans="1:22" ht="20" customHeight="1">
      <c r="A53" s="106"/>
      <c r="B53" s="104"/>
      <c r="C53" s="104"/>
      <c r="D53" s="104"/>
      <c r="E53" s="104"/>
      <c r="F53" s="104"/>
      <c r="G53" s="104"/>
      <c r="H53" s="104"/>
      <c r="I53" s="104"/>
      <c r="J53" s="104"/>
      <c r="K53" s="104"/>
      <c r="L53" s="104"/>
      <c r="M53" s="104"/>
      <c r="N53" s="104"/>
      <c r="O53" s="106"/>
      <c r="P53" s="104"/>
      <c r="Q53" s="104"/>
      <c r="R53" s="104"/>
      <c r="S53" s="104"/>
      <c r="T53" s="104"/>
      <c r="U53" s="104"/>
      <c r="V53" s="104"/>
    </row>
    <row r="54" spans="1:22" ht="20" customHeight="1">
      <c r="A54" s="106"/>
      <c r="B54" s="104"/>
      <c r="C54" s="104"/>
      <c r="D54" s="104"/>
      <c r="E54" s="104"/>
      <c r="F54" s="104"/>
      <c r="G54" s="104"/>
      <c r="H54" s="104"/>
      <c r="I54" s="104"/>
      <c r="J54" s="104"/>
      <c r="K54" s="104"/>
      <c r="L54" s="104"/>
      <c r="M54" s="104"/>
      <c r="N54" s="104"/>
      <c r="O54" s="106"/>
      <c r="P54" s="104"/>
      <c r="Q54" s="104"/>
      <c r="R54" s="104"/>
      <c r="S54" s="104"/>
      <c r="T54" s="104"/>
      <c r="U54" s="104"/>
      <c r="V54" s="104"/>
    </row>
    <row r="55" spans="1:22" ht="20" customHeight="1">
      <c r="A55" s="106"/>
      <c r="B55" s="104"/>
      <c r="C55" s="104"/>
      <c r="D55" s="104"/>
      <c r="E55" s="104"/>
      <c r="F55" s="104"/>
      <c r="G55" s="104"/>
      <c r="H55" s="104"/>
      <c r="I55" s="104"/>
      <c r="J55" s="104"/>
      <c r="K55" s="104"/>
      <c r="L55" s="104"/>
      <c r="M55" s="104"/>
      <c r="N55" s="104"/>
      <c r="O55" s="106"/>
      <c r="P55" s="104"/>
      <c r="Q55" s="104"/>
      <c r="R55" s="104"/>
      <c r="S55" s="104"/>
      <c r="T55" s="104"/>
      <c r="U55" s="104"/>
      <c r="V55" s="104"/>
    </row>
    <row r="56" spans="1:22" ht="20" customHeight="1">
      <c r="A56" s="165"/>
      <c r="B56" s="104"/>
      <c r="C56" s="104"/>
      <c r="D56" s="104"/>
      <c r="E56" s="104"/>
      <c r="F56" s="104"/>
      <c r="G56" s="104"/>
      <c r="H56" s="104"/>
      <c r="I56" s="104"/>
      <c r="J56" s="104"/>
      <c r="K56" s="104"/>
      <c r="L56" s="104"/>
      <c r="M56" s="104"/>
      <c r="N56" s="104"/>
      <c r="O56" s="165"/>
      <c r="P56" s="104"/>
      <c r="Q56" s="104"/>
      <c r="R56" s="104"/>
      <c r="S56" s="104"/>
      <c r="T56" s="104"/>
      <c r="U56" s="104"/>
      <c r="V56" s="104"/>
    </row>
    <row r="57" spans="1:22" ht="20" customHeight="1">
      <c r="A57" s="165"/>
      <c r="B57" s="104"/>
      <c r="C57" s="104"/>
      <c r="D57" s="104"/>
      <c r="E57" s="104"/>
      <c r="F57" s="104"/>
      <c r="G57" s="104"/>
      <c r="H57" s="104"/>
      <c r="I57" s="104"/>
      <c r="J57" s="104"/>
      <c r="K57" s="104"/>
      <c r="L57" s="104"/>
      <c r="M57" s="104"/>
      <c r="N57" s="104"/>
      <c r="O57" s="165"/>
      <c r="P57" s="104"/>
      <c r="Q57" s="104"/>
      <c r="R57" s="104"/>
      <c r="S57" s="104"/>
      <c r="T57" s="104"/>
      <c r="U57" s="104"/>
      <c r="V57" s="104"/>
    </row>
    <row r="58" spans="1:22" ht="20" customHeight="1">
      <c r="A58" s="165"/>
      <c r="B58" s="104"/>
      <c r="C58" s="104"/>
      <c r="D58" s="104"/>
      <c r="E58" s="104"/>
      <c r="F58" s="104"/>
      <c r="G58" s="104"/>
      <c r="H58" s="104"/>
      <c r="I58" s="104"/>
      <c r="J58" s="104"/>
      <c r="K58" s="104"/>
      <c r="L58" s="104"/>
      <c r="M58" s="104"/>
      <c r="N58" s="104"/>
      <c r="O58" s="165"/>
      <c r="P58" s="104"/>
      <c r="Q58" s="104"/>
      <c r="R58" s="104"/>
      <c r="S58" s="104"/>
      <c r="T58" s="104"/>
      <c r="U58" s="104"/>
      <c r="V58" s="104"/>
    </row>
    <row r="59" spans="1:22" ht="20" customHeight="1">
      <c r="A59" s="165"/>
      <c r="B59" s="104"/>
      <c r="C59" s="104"/>
      <c r="D59" s="104"/>
      <c r="E59" s="104"/>
      <c r="F59" s="104"/>
      <c r="G59" s="104"/>
      <c r="H59" s="104"/>
      <c r="I59" s="104"/>
      <c r="J59" s="104"/>
      <c r="K59" s="104"/>
      <c r="L59" s="104"/>
      <c r="M59" s="104"/>
      <c r="N59" s="104"/>
      <c r="O59" s="165"/>
      <c r="P59" s="104"/>
      <c r="Q59" s="104"/>
      <c r="R59" s="104"/>
      <c r="S59" s="104"/>
      <c r="T59" s="104"/>
      <c r="U59" s="104"/>
      <c r="V59" s="104"/>
    </row>
    <row r="60" spans="1:22" ht="20" customHeight="1">
      <c r="A60" s="165"/>
      <c r="B60" s="104"/>
      <c r="C60" s="104"/>
      <c r="D60" s="104"/>
      <c r="E60" s="104"/>
      <c r="F60" s="104"/>
      <c r="G60" s="104"/>
      <c r="H60" s="104"/>
      <c r="I60" s="104"/>
      <c r="J60" s="104"/>
      <c r="K60" s="104"/>
      <c r="L60" s="104"/>
      <c r="M60" s="104"/>
      <c r="N60" s="104"/>
      <c r="O60" s="165"/>
      <c r="P60" s="104"/>
      <c r="Q60" s="104"/>
      <c r="R60" s="104"/>
      <c r="S60" s="104"/>
      <c r="T60" s="104"/>
      <c r="U60" s="104"/>
      <c r="V60" s="104"/>
    </row>
    <row r="61" spans="1:22" ht="20" customHeight="1">
      <c r="A61" s="165"/>
      <c r="B61" s="104"/>
      <c r="C61" s="104"/>
      <c r="D61" s="104"/>
      <c r="E61" s="104"/>
      <c r="F61" s="104"/>
      <c r="G61" s="104"/>
      <c r="H61" s="104"/>
      <c r="I61" s="104"/>
      <c r="J61" s="104"/>
      <c r="K61" s="104"/>
      <c r="L61" s="104"/>
      <c r="M61" s="104"/>
      <c r="N61" s="104"/>
      <c r="O61" s="165"/>
      <c r="P61" s="104"/>
      <c r="Q61" s="104"/>
      <c r="R61" s="104"/>
      <c r="S61" s="104"/>
      <c r="T61" s="104"/>
      <c r="U61" s="104"/>
      <c r="V61" s="104"/>
    </row>
    <row r="62" spans="1:22" ht="20" customHeight="1">
      <c r="A62" s="165"/>
      <c r="B62" s="104"/>
      <c r="C62" s="104"/>
      <c r="D62" s="104"/>
      <c r="E62" s="104"/>
      <c r="F62" s="104"/>
      <c r="G62" s="104"/>
      <c r="H62" s="104"/>
      <c r="I62" s="104"/>
      <c r="J62" s="104"/>
      <c r="K62" s="104"/>
      <c r="L62" s="104"/>
      <c r="M62" s="104"/>
      <c r="N62" s="104"/>
      <c r="O62" s="165"/>
      <c r="P62" s="104"/>
      <c r="Q62" s="104"/>
      <c r="R62" s="104"/>
      <c r="S62" s="104"/>
      <c r="T62" s="104"/>
      <c r="U62" s="104"/>
      <c r="V62" s="104"/>
    </row>
    <row r="63" spans="1:22" ht="20" customHeight="1"/>
    <row r="64" spans="1:22"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row r="88" ht="20" customHeight="1"/>
    <row r="89" ht="20" customHeight="1"/>
    <row r="90" ht="20" customHeight="1"/>
  </sheetData>
  <sheetProtection formatCells="0" formatColumns="0" formatRows="0" selectLockedCells="1" sort="0" autoFilter="0" pivotTables="0"/>
  <mergeCells count="30">
    <mergeCell ref="F11:G11"/>
    <mergeCell ref="I22:N22"/>
    <mergeCell ref="E24:G31"/>
    <mergeCell ref="K17:L20"/>
    <mergeCell ref="M17:N20"/>
    <mergeCell ref="D17:E20"/>
    <mergeCell ref="F17:G20"/>
    <mergeCell ref="E22:F22"/>
    <mergeCell ref="E23:F23"/>
    <mergeCell ref="D22:D23"/>
    <mergeCell ref="B24:D31"/>
    <mergeCell ref="G22:G23"/>
    <mergeCell ref="B22:C22"/>
    <mergeCell ref="B23:C23"/>
    <mergeCell ref="I7:J7"/>
    <mergeCell ref="K16:L16"/>
    <mergeCell ref="M16:N16"/>
    <mergeCell ref="B11:C11"/>
    <mergeCell ref="I11:J11"/>
    <mergeCell ref="K11:L11"/>
    <mergeCell ref="M12:N15"/>
    <mergeCell ref="K12:L15"/>
    <mergeCell ref="B12:C20"/>
    <mergeCell ref="I12:J20"/>
    <mergeCell ref="D12:E15"/>
    <mergeCell ref="F12:G15"/>
    <mergeCell ref="D16:E16"/>
    <mergeCell ref="F16:G16"/>
    <mergeCell ref="M11:N11"/>
    <mergeCell ref="D11:E11"/>
  </mergeCells>
  <dataValidations count="1">
    <dataValidation type="list" allowBlank="1" showInputMessage="1" showErrorMessage="1" sqref="C9" xr:uid="{5699B884-D071-4C47-A3CD-4CE19FFAF350}">
      <formula1>month</formula1>
    </dataValidation>
  </dataValidations>
  <pageMargins left="0.7" right="0.7" top="0.75" bottom="0.75" header="0.3" footer="0.3"/>
  <pageSetup scale="82" orientation="landscape" r:id="rId1"/>
  <colBreaks count="1" manualBreakCount="1">
    <brk id="15" min="5" max="66" man="1"/>
  </col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23B28-9FDA-40DB-ABBF-B6A39A465ACF}">
  <dimension ref="A1:X90"/>
  <sheetViews>
    <sheetView showGridLines="0" showRowColHeaders="0" zoomScaleNormal="100" workbookViewId="0"/>
  </sheetViews>
  <sheetFormatPr baseColWidth="10" defaultColWidth="11.5" defaultRowHeight="15"/>
  <cols>
    <col min="1" max="1" width="2.6640625" style="93" customWidth="1"/>
    <col min="2" max="3" width="20.6640625" style="151" customWidth="1"/>
    <col min="4" max="4" width="1.5" style="151" customWidth="1"/>
    <col min="5" max="6" width="20.6640625" style="151" customWidth="1"/>
    <col min="7" max="7" width="1.5" style="151" customWidth="1"/>
    <col min="8" max="9" width="20.6640625" style="151" customWidth="1"/>
    <col min="10" max="10" width="1.5" style="151" customWidth="1"/>
    <col min="11" max="12" width="20.6640625" style="151" customWidth="1"/>
    <col min="13" max="13" width="1.5" style="151" customWidth="1"/>
    <col min="14" max="15" width="12" style="151" customWidth="1"/>
    <col min="16" max="16" width="1.83203125" style="93" customWidth="1"/>
    <col min="17" max="21" width="10.5" style="151" customWidth="1"/>
    <col min="22" max="16384" width="11.5" style="151"/>
  </cols>
  <sheetData>
    <row r="1" spans="1:24" s="268" customFormat="1" ht="39" customHeight="1">
      <c r="A1" s="266"/>
      <c r="B1" s="266"/>
      <c r="C1" s="266"/>
      <c r="D1" s="266"/>
      <c r="E1" s="266"/>
      <c r="F1" s="266"/>
      <c r="G1" s="266"/>
      <c r="H1" s="266"/>
      <c r="I1" s="266"/>
      <c r="J1" s="266"/>
      <c r="K1" s="266"/>
      <c r="L1" s="266"/>
      <c r="M1" s="266"/>
      <c r="N1" s="266"/>
      <c r="O1" s="266"/>
      <c r="P1" s="266"/>
      <c r="Q1" s="266"/>
      <c r="R1" s="266"/>
      <c r="S1" s="266"/>
    </row>
    <row r="2" spans="1:24" s="269" customFormat="1" ht="25" customHeight="1">
      <c r="A2" s="312"/>
      <c r="J2" s="312"/>
      <c r="K2" s="312"/>
      <c r="L2" s="388"/>
      <c r="P2" s="312"/>
      <c r="W2" s="388"/>
      <c r="X2" s="312"/>
    </row>
    <row r="3" spans="1:24" s="251" customFormat="1" ht="18" customHeight="1">
      <c r="A3" s="287"/>
      <c r="J3" s="287"/>
      <c r="K3" s="287"/>
      <c r="L3" s="384"/>
      <c r="P3" s="287"/>
      <c r="W3" s="384"/>
      <c r="X3" s="287"/>
    </row>
    <row r="4" spans="1:24" s="251" customFormat="1" ht="18" customHeight="1">
      <c r="A4" s="287"/>
      <c r="J4" s="287"/>
      <c r="K4" s="287"/>
      <c r="L4" s="384"/>
      <c r="P4" s="287"/>
      <c r="W4" s="384"/>
      <c r="X4" s="287"/>
    </row>
    <row r="5" spans="1:24" s="251" customFormat="1" ht="20" customHeight="1">
      <c r="A5" s="287"/>
      <c r="J5" s="287"/>
      <c r="K5" s="287"/>
      <c r="L5" s="384"/>
      <c r="P5" s="287"/>
      <c r="W5" s="384"/>
      <c r="X5" s="287"/>
    </row>
    <row r="6" spans="1:24" ht="20" customHeight="1">
      <c r="A6" s="106"/>
      <c r="B6" s="104"/>
      <c r="C6" s="104"/>
      <c r="D6" s="104"/>
      <c r="E6" s="104"/>
      <c r="F6" s="104"/>
      <c r="G6" s="104"/>
      <c r="H6" s="104"/>
      <c r="I6" s="104"/>
      <c r="J6" s="104"/>
      <c r="K6" s="104"/>
      <c r="L6" s="104"/>
      <c r="M6" s="104"/>
      <c r="N6" s="104"/>
      <c r="O6" s="141">
        <f ca="1">360-O7</f>
        <v>7</v>
      </c>
      <c r="P6" s="106"/>
      <c r="Q6" s="104"/>
      <c r="R6" s="104"/>
      <c r="S6" s="104"/>
      <c r="T6" s="104"/>
      <c r="U6" s="104"/>
      <c r="V6" s="104"/>
      <c r="W6" s="104"/>
    </row>
    <row r="7" spans="1:24" ht="20" customHeight="1">
      <c r="A7" s="106"/>
      <c r="B7" s="237" t="str">
        <f>Lan!$F$88</f>
        <v>4.2. Dashboard Plan de Acción</v>
      </c>
      <c r="C7" s="105"/>
      <c r="D7" s="105"/>
      <c r="E7" s="105"/>
      <c r="F7" s="104"/>
      <c r="G7" s="104"/>
      <c r="H7" s="104"/>
      <c r="I7" s="523"/>
      <c r="J7" s="523"/>
      <c r="K7" s="137"/>
      <c r="L7" s="104"/>
      <c r="M7" s="104"/>
      <c r="N7" s="104"/>
      <c r="O7" s="141">
        <f ca="1">IF(AuxDash!D5&gt;30,AuxDash!D5,0)</f>
        <v>353</v>
      </c>
      <c r="P7" s="106"/>
      <c r="Q7" s="104"/>
      <c r="R7" s="104"/>
      <c r="S7" s="104"/>
      <c r="T7" s="104"/>
      <c r="U7" s="104"/>
      <c r="V7" s="104"/>
      <c r="W7" s="104"/>
    </row>
    <row r="8" spans="1:24" ht="20" customHeight="1">
      <c r="A8" s="106"/>
      <c r="B8" s="104"/>
      <c r="C8" s="104"/>
      <c r="D8" s="137"/>
      <c r="E8" s="104"/>
      <c r="F8" s="104"/>
      <c r="G8" s="104"/>
      <c r="H8" s="104"/>
      <c r="I8" s="104"/>
      <c r="J8" s="104"/>
      <c r="K8" s="137"/>
      <c r="L8" s="104"/>
      <c r="M8" s="104"/>
      <c r="N8" s="104"/>
      <c r="O8" s="141">
        <f ca="1">IF(AuxDash!D5&lt;=30,AuxDash!D5,0)</f>
        <v>0</v>
      </c>
      <c r="P8" s="106"/>
      <c r="Q8" s="104"/>
      <c r="R8" s="104"/>
      <c r="S8" s="104"/>
      <c r="T8" s="104"/>
      <c r="U8" s="104"/>
      <c r="V8" s="104"/>
      <c r="W8" s="104"/>
    </row>
    <row r="9" spans="1:24" ht="20" customHeight="1">
      <c r="A9" s="106"/>
      <c r="B9" s="138"/>
      <c r="C9" s="104"/>
      <c r="D9" s="104"/>
      <c r="E9" s="104"/>
      <c r="F9" s="104"/>
      <c r="G9" s="104"/>
      <c r="H9" s="104"/>
      <c r="I9" s="104"/>
      <c r="J9" s="104"/>
      <c r="K9" s="137"/>
      <c r="L9" s="104"/>
      <c r="M9" s="104"/>
      <c r="N9" s="104"/>
      <c r="O9" s="104"/>
      <c r="P9" s="106"/>
      <c r="Q9" s="104"/>
      <c r="R9" s="104"/>
      <c r="S9" s="104"/>
      <c r="T9" s="104"/>
      <c r="U9" s="104"/>
      <c r="V9" s="104"/>
      <c r="W9" s="104"/>
    </row>
    <row r="10" spans="1:24" ht="20" customHeight="1">
      <c r="A10" s="106"/>
      <c r="B10" s="528" t="str">
        <f>Lan!F107</f>
        <v xml:space="preserve"># Total Acciones </v>
      </c>
      <c r="C10" s="528"/>
      <c r="D10" s="117"/>
      <c r="E10" s="528" t="str">
        <f>Lan!F108</f>
        <v>Progreso promedio</v>
      </c>
      <c r="F10" s="528"/>
      <c r="G10" s="117"/>
      <c r="H10" s="528" t="str">
        <f>Lan!F109</f>
        <v># Acciones vencidas</v>
      </c>
      <c r="I10" s="528"/>
      <c r="J10" s="117"/>
      <c r="K10" s="528" t="str">
        <f>Lan!F110</f>
        <v>% Acciones atrasadas</v>
      </c>
      <c r="L10" s="528"/>
      <c r="M10" s="104"/>
      <c r="N10" s="104"/>
      <c r="O10" s="104"/>
      <c r="P10" s="106"/>
      <c r="Q10" s="104"/>
      <c r="R10" s="104"/>
      <c r="S10" s="104"/>
      <c r="T10" s="104"/>
      <c r="U10" s="104"/>
      <c r="V10" s="104"/>
      <c r="W10" s="104"/>
    </row>
    <row r="11" spans="1:24" ht="20" customHeight="1">
      <c r="A11" s="106"/>
      <c r="B11" s="568">
        <f>SUM(AuxPlan!E4:E63)</f>
        <v>4</v>
      </c>
      <c r="C11" s="568"/>
      <c r="D11" s="144"/>
      <c r="E11" s="569">
        <f ca="1">IFERROR(AVERAGE(AuxPlan!J4:J63),0)</f>
        <v>7.5000000000000011E-2</v>
      </c>
      <c r="F11" s="570"/>
      <c r="G11" s="144"/>
      <c r="H11" s="570">
        <f ca="1">SUM(AuxPlan!I4:I63)</f>
        <v>0</v>
      </c>
      <c r="I11" s="570"/>
      <c r="J11" s="144"/>
      <c r="K11" s="571">
        <f ca="1">IFERROR(H11/B11,0)</f>
        <v>0</v>
      </c>
      <c r="L11" s="571"/>
      <c r="M11" s="104"/>
      <c r="N11" s="104"/>
      <c r="O11" s="104"/>
      <c r="P11" s="106"/>
      <c r="Q11" s="104"/>
      <c r="R11" s="104"/>
      <c r="S11" s="104"/>
      <c r="T11" s="104"/>
      <c r="U11" s="104"/>
      <c r="V11" s="104"/>
      <c r="W11" s="104"/>
    </row>
    <row r="12" spans="1:24" ht="20" customHeight="1">
      <c r="A12" s="106"/>
      <c r="B12" s="568"/>
      <c r="C12" s="568"/>
      <c r="D12" s="144"/>
      <c r="E12" s="570"/>
      <c r="F12" s="570"/>
      <c r="G12" s="144"/>
      <c r="H12" s="570"/>
      <c r="I12" s="570"/>
      <c r="J12" s="144"/>
      <c r="K12" s="571"/>
      <c r="L12" s="571"/>
      <c r="M12" s="104"/>
      <c r="N12" s="104"/>
      <c r="O12" s="104"/>
      <c r="P12" s="106"/>
      <c r="Q12" s="104"/>
      <c r="R12" s="104"/>
      <c r="S12" s="104"/>
      <c r="T12" s="104"/>
      <c r="U12" s="104"/>
      <c r="V12" s="104"/>
      <c r="W12" s="104"/>
    </row>
    <row r="13" spans="1:24" ht="20" customHeight="1">
      <c r="A13" s="106"/>
      <c r="B13" s="568"/>
      <c r="C13" s="568"/>
      <c r="D13" s="144"/>
      <c r="E13" s="570"/>
      <c r="F13" s="570"/>
      <c r="G13" s="144"/>
      <c r="H13" s="570"/>
      <c r="I13" s="570"/>
      <c r="J13" s="144"/>
      <c r="K13" s="571"/>
      <c r="L13" s="571"/>
      <c r="M13" s="104"/>
      <c r="N13" s="104"/>
      <c r="O13" s="104"/>
      <c r="P13" s="106"/>
      <c r="Q13" s="104"/>
      <c r="R13" s="104"/>
      <c r="S13" s="104"/>
      <c r="T13" s="104"/>
      <c r="U13" s="104"/>
      <c r="V13" s="104"/>
      <c r="W13" s="104"/>
    </row>
    <row r="14" spans="1:24" ht="20" customHeight="1">
      <c r="A14" s="106"/>
      <c r="B14" s="568"/>
      <c r="C14" s="568"/>
      <c r="D14" s="144"/>
      <c r="E14" s="570"/>
      <c r="F14" s="570"/>
      <c r="G14" s="144"/>
      <c r="H14" s="570"/>
      <c r="I14" s="570"/>
      <c r="J14" s="144"/>
      <c r="K14" s="571"/>
      <c r="L14" s="571"/>
      <c r="M14" s="104"/>
      <c r="N14" s="104"/>
      <c r="O14" s="104"/>
      <c r="P14" s="106"/>
      <c r="Q14" s="104"/>
      <c r="R14" s="104"/>
      <c r="S14" s="104"/>
      <c r="T14" s="104"/>
      <c r="U14" s="104"/>
      <c r="V14" s="104"/>
      <c r="W14" s="104"/>
    </row>
    <row r="15" spans="1:24" ht="20" customHeight="1">
      <c r="A15" s="106"/>
      <c r="B15" s="104"/>
      <c r="C15" s="104"/>
      <c r="D15" s="104"/>
      <c r="E15" s="104"/>
      <c r="F15" s="104"/>
      <c r="G15" s="104"/>
      <c r="H15" s="104"/>
      <c r="I15" s="104"/>
      <c r="J15" s="104"/>
      <c r="K15" s="104"/>
      <c r="L15" s="104"/>
      <c r="M15" s="104"/>
      <c r="N15" s="104"/>
      <c r="O15" s="104"/>
      <c r="P15" s="106"/>
      <c r="Q15" s="104"/>
      <c r="R15" s="104"/>
      <c r="S15" s="104"/>
      <c r="T15" s="104"/>
      <c r="U15" s="104"/>
      <c r="V15" s="104"/>
      <c r="W15" s="104"/>
    </row>
    <row r="16" spans="1:24" ht="20" customHeight="1">
      <c r="A16" s="106"/>
      <c r="B16" s="104"/>
      <c r="C16" s="104"/>
      <c r="D16" s="104"/>
      <c r="E16" s="104"/>
      <c r="F16" s="104"/>
      <c r="G16" s="104"/>
      <c r="H16" s="104"/>
      <c r="I16" s="104"/>
      <c r="J16" s="104"/>
      <c r="K16" s="104"/>
      <c r="L16" s="104"/>
      <c r="M16" s="104"/>
      <c r="N16" s="104"/>
      <c r="O16" s="104"/>
      <c r="P16" s="106"/>
      <c r="Q16" s="104"/>
      <c r="R16" s="104"/>
      <c r="S16" s="104"/>
      <c r="T16" s="104"/>
      <c r="U16" s="104"/>
      <c r="V16" s="104"/>
      <c r="W16" s="104"/>
    </row>
    <row r="17" spans="1:23" ht="20" customHeight="1">
      <c r="A17" s="106"/>
      <c r="B17" s="104"/>
      <c r="C17" s="104"/>
      <c r="D17" s="104"/>
      <c r="E17" s="104"/>
      <c r="F17" s="104"/>
      <c r="G17" s="104"/>
      <c r="H17" s="104"/>
      <c r="I17" s="104"/>
      <c r="J17" s="104"/>
      <c r="K17" s="104"/>
      <c r="L17" s="104"/>
      <c r="M17" s="104"/>
      <c r="N17" s="104"/>
      <c r="O17" s="104"/>
      <c r="P17" s="106"/>
      <c r="Q17" s="104"/>
      <c r="R17" s="104"/>
      <c r="S17" s="104"/>
      <c r="T17" s="104"/>
      <c r="U17" s="104"/>
      <c r="V17" s="104"/>
      <c r="W17" s="104"/>
    </row>
    <row r="18" spans="1:23" ht="20" customHeight="1">
      <c r="A18" s="106"/>
      <c r="B18" s="104"/>
      <c r="C18" s="104"/>
      <c r="D18" s="104"/>
      <c r="E18" s="104"/>
      <c r="F18" s="104"/>
      <c r="G18" s="104"/>
      <c r="H18" s="104"/>
      <c r="I18" s="104"/>
      <c r="J18" s="104"/>
      <c r="K18" s="104"/>
      <c r="L18" s="104"/>
      <c r="M18" s="104"/>
      <c r="N18" s="104"/>
      <c r="O18" s="104"/>
      <c r="P18" s="106"/>
      <c r="Q18" s="104"/>
      <c r="R18" s="104"/>
      <c r="S18" s="104"/>
      <c r="T18" s="104"/>
      <c r="U18" s="104"/>
      <c r="V18" s="104"/>
      <c r="W18" s="104"/>
    </row>
    <row r="19" spans="1:23" ht="20" customHeight="1">
      <c r="A19" s="106"/>
      <c r="B19" s="104"/>
      <c r="C19" s="104"/>
      <c r="D19" s="104"/>
      <c r="E19" s="104"/>
      <c r="F19" s="104"/>
      <c r="G19" s="104"/>
      <c r="H19" s="104"/>
      <c r="I19" s="104"/>
      <c r="J19" s="104"/>
      <c r="K19" s="104"/>
      <c r="L19" s="104"/>
      <c r="M19" s="104"/>
      <c r="N19" s="104"/>
      <c r="O19" s="104"/>
      <c r="P19" s="106"/>
      <c r="Q19" s="104"/>
      <c r="R19" s="104"/>
      <c r="S19" s="104"/>
      <c r="T19" s="104"/>
      <c r="U19" s="104"/>
      <c r="V19" s="104"/>
      <c r="W19" s="104"/>
    </row>
    <row r="20" spans="1:23" ht="20" customHeight="1">
      <c r="A20" s="106"/>
      <c r="B20" s="104"/>
      <c r="C20" s="104"/>
      <c r="D20" s="104"/>
      <c r="E20" s="104"/>
      <c r="F20" s="104"/>
      <c r="G20" s="104"/>
      <c r="H20" s="104"/>
      <c r="I20" s="104"/>
      <c r="J20" s="104"/>
      <c r="K20" s="104"/>
      <c r="L20" s="104"/>
      <c r="M20" s="104"/>
      <c r="N20" s="104"/>
      <c r="O20" s="104"/>
      <c r="P20" s="106"/>
      <c r="Q20" s="104"/>
      <c r="R20" s="104"/>
      <c r="S20" s="104"/>
      <c r="T20" s="104"/>
      <c r="U20" s="104"/>
      <c r="V20" s="104"/>
      <c r="W20" s="104"/>
    </row>
    <row r="21" spans="1:23" ht="7.25" customHeight="1">
      <c r="A21" s="106"/>
      <c r="B21" s="104"/>
      <c r="C21" s="104"/>
      <c r="D21" s="104"/>
      <c r="E21" s="104"/>
      <c r="F21" s="104"/>
      <c r="G21" s="104"/>
      <c r="H21" s="104"/>
      <c r="I21" s="104"/>
      <c r="J21" s="104"/>
      <c r="K21" s="104"/>
      <c r="L21" s="104"/>
      <c r="M21" s="104"/>
      <c r="N21" s="104"/>
      <c r="O21" s="104"/>
      <c r="P21" s="106"/>
      <c r="Q21" s="104"/>
      <c r="R21" s="104"/>
      <c r="S21" s="104"/>
      <c r="T21" s="104"/>
      <c r="U21" s="104"/>
      <c r="V21" s="104"/>
      <c r="W21" s="104"/>
    </row>
    <row r="22" spans="1:23" ht="20" customHeight="1">
      <c r="A22" s="106"/>
      <c r="B22" s="104"/>
      <c r="C22" s="104"/>
      <c r="D22" s="104"/>
      <c r="E22" s="104"/>
      <c r="F22" s="104"/>
      <c r="G22" s="104"/>
      <c r="H22" s="104"/>
      <c r="I22" s="104"/>
      <c r="J22" s="104"/>
      <c r="K22" s="104"/>
      <c r="L22" s="104"/>
      <c r="M22" s="104"/>
      <c r="N22" s="104"/>
      <c r="O22" s="104"/>
      <c r="P22" s="106"/>
      <c r="Q22" s="104"/>
      <c r="R22" s="104"/>
      <c r="S22" s="104"/>
      <c r="T22" s="104"/>
      <c r="U22" s="104"/>
      <c r="V22" s="104"/>
      <c r="W22" s="104"/>
    </row>
    <row r="23" spans="1:23" ht="20" customHeight="1">
      <c r="A23" s="106"/>
      <c r="B23" s="104"/>
      <c r="C23" s="104"/>
      <c r="D23" s="104"/>
      <c r="E23" s="104"/>
      <c r="F23" s="104"/>
      <c r="G23" s="104"/>
      <c r="H23" s="104"/>
      <c r="I23" s="104"/>
      <c r="J23" s="104"/>
      <c r="K23" s="104"/>
      <c r="L23" s="104"/>
      <c r="M23" s="104"/>
      <c r="N23" s="104"/>
      <c r="O23" s="104"/>
      <c r="P23" s="106"/>
      <c r="Q23" s="104"/>
      <c r="R23" s="104"/>
      <c r="S23" s="104"/>
      <c r="T23" s="104"/>
      <c r="U23" s="104"/>
      <c r="V23" s="104"/>
      <c r="W23" s="104"/>
    </row>
    <row r="24" spans="1:23" ht="20" customHeight="1">
      <c r="A24" s="106"/>
      <c r="B24" s="104"/>
      <c r="C24" s="104"/>
      <c r="D24" s="104"/>
      <c r="E24" s="104"/>
      <c r="F24" s="104"/>
      <c r="G24" s="104"/>
      <c r="H24" s="104"/>
      <c r="I24" s="104"/>
      <c r="J24" s="104"/>
      <c r="K24" s="104"/>
      <c r="L24" s="104"/>
      <c r="M24" s="104"/>
      <c r="N24" s="104"/>
      <c r="O24" s="104"/>
      <c r="P24" s="106"/>
      <c r="Q24" s="104"/>
      <c r="R24" s="104"/>
      <c r="S24" s="104"/>
      <c r="T24" s="104"/>
      <c r="U24" s="104"/>
      <c r="V24" s="104"/>
      <c r="W24" s="104"/>
    </row>
    <row r="25" spans="1:23" ht="20" customHeight="1">
      <c r="A25" s="106"/>
      <c r="B25" s="104"/>
      <c r="C25" s="104"/>
      <c r="D25" s="104"/>
      <c r="E25" s="104"/>
      <c r="F25" s="104"/>
      <c r="G25" s="104"/>
      <c r="H25" s="104"/>
      <c r="I25" s="104"/>
      <c r="J25" s="104"/>
      <c r="K25" s="104"/>
      <c r="L25" s="104"/>
      <c r="M25" s="104"/>
      <c r="N25" s="104"/>
      <c r="O25" s="104"/>
      <c r="P25" s="106"/>
      <c r="Q25" s="104"/>
      <c r="R25" s="104"/>
      <c r="S25" s="104"/>
      <c r="T25" s="104"/>
      <c r="U25" s="104"/>
      <c r="V25" s="104"/>
      <c r="W25" s="104"/>
    </row>
    <row r="26" spans="1:23" ht="20" customHeight="1">
      <c r="A26" s="106"/>
      <c r="B26" s="104"/>
      <c r="C26" s="104"/>
      <c r="D26" s="104"/>
      <c r="E26" s="104"/>
      <c r="F26" s="104"/>
      <c r="G26" s="104"/>
      <c r="H26" s="104"/>
      <c r="I26" s="104"/>
      <c r="J26" s="104"/>
      <c r="K26" s="104"/>
      <c r="L26" s="104"/>
      <c r="M26" s="104"/>
      <c r="N26" s="104"/>
      <c r="O26" s="104"/>
      <c r="P26" s="106"/>
      <c r="Q26" s="104"/>
      <c r="R26" s="104"/>
      <c r="S26" s="104"/>
      <c r="T26" s="104"/>
      <c r="U26" s="104"/>
      <c r="V26" s="104"/>
      <c r="W26" s="104"/>
    </row>
    <row r="27" spans="1:23" ht="20" customHeight="1">
      <c r="A27" s="106"/>
      <c r="B27" s="104"/>
      <c r="C27" s="104"/>
      <c r="D27" s="104"/>
      <c r="E27" s="104"/>
      <c r="F27" s="104"/>
      <c r="G27" s="104"/>
      <c r="H27" s="104"/>
      <c r="I27" s="104"/>
      <c r="J27" s="104"/>
      <c r="K27" s="104"/>
      <c r="L27" s="104"/>
      <c r="M27" s="104"/>
      <c r="N27" s="104"/>
      <c r="O27" s="104"/>
      <c r="P27" s="106"/>
      <c r="Q27" s="104"/>
      <c r="R27" s="104"/>
      <c r="S27" s="104"/>
      <c r="T27" s="104"/>
      <c r="U27" s="104"/>
      <c r="V27" s="104"/>
      <c r="W27" s="104"/>
    </row>
    <row r="28" spans="1:23" ht="20" customHeight="1">
      <c r="A28" s="106"/>
      <c r="B28" s="104"/>
      <c r="C28" s="104"/>
      <c r="D28" s="104"/>
      <c r="E28" s="104"/>
      <c r="F28" s="104"/>
      <c r="G28" s="104"/>
      <c r="H28" s="104"/>
      <c r="I28" s="104"/>
      <c r="J28" s="104"/>
      <c r="K28" s="104"/>
      <c r="L28" s="104"/>
      <c r="M28" s="104"/>
      <c r="N28" s="104"/>
      <c r="O28" s="104"/>
      <c r="P28" s="106"/>
      <c r="Q28" s="104"/>
      <c r="R28" s="104"/>
      <c r="S28" s="104"/>
      <c r="T28" s="104"/>
      <c r="U28" s="104"/>
      <c r="V28" s="104"/>
      <c r="W28" s="104"/>
    </row>
    <row r="29" spans="1:23" ht="20" customHeight="1">
      <c r="A29" s="106"/>
      <c r="B29" s="104"/>
      <c r="C29" s="104"/>
      <c r="D29" s="104"/>
      <c r="E29" s="104"/>
      <c r="F29" s="104"/>
      <c r="G29" s="104"/>
      <c r="H29" s="104"/>
      <c r="I29" s="104"/>
      <c r="J29" s="104"/>
      <c r="K29" s="104"/>
      <c r="L29" s="104"/>
      <c r="M29" s="104"/>
      <c r="N29" s="104"/>
      <c r="O29" s="104"/>
      <c r="P29" s="106"/>
      <c r="Q29" s="104"/>
      <c r="R29" s="104"/>
      <c r="S29" s="104"/>
      <c r="T29" s="104"/>
      <c r="U29" s="104"/>
      <c r="V29" s="104"/>
      <c r="W29" s="104"/>
    </row>
    <row r="30" spans="1:23" ht="20" customHeight="1">
      <c r="A30" s="106"/>
      <c r="B30" s="104"/>
      <c r="C30" s="104"/>
      <c r="D30" s="104"/>
      <c r="E30" s="104"/>
      <c r="F30" s="104"/>
      <c r="G30" s="104"/>
      <c r="H30" s="104"/>
      <c r="I30" s="104"/>
      <c r="J30" s="104"/>
      <c r="K30" s="104"/>
      <c r="L30" s="104"/>
      <c r="M30" s="104"/>
      <c r="N30" s="104"/>
      <c r="O30" s="104"/>
      <c r="P30" s="106"/>
      <c r="Q30" s="104"/>
      <c r="R30" s="104"/>
      <c r="S30" s="104"/>
      <c r="T30" s="104"/>
      <c r="U30" s="104"/>
      <c r="V30" s="104"/>
      <c r="W30" s="104"/>
    </row>
    <row r="31" spans="1:23" ht="20" customHeight="1">
      <c r="A31" s="106"/>
      <c r="B31" s="104"/>
      <c r="C31" s="104"/>
      <c r="D31" s="104"/>
      <c r="E31" s="104"/>
      <c r="F31" s="104"/>
      <c r="G31" s="104"/>
      <c r="H31" s="104"/>
      <c r="I31" s="104"/>
      <c r="J31" s="104"/>
      <c r="K31" s="104"/>
      <c r="L31" s="104"/>
      <c r="M31" s="104"/>
      <c r="N31" s="104"/>
      <c r="O31" s="104"/>
      <c r="P31" s="106"/>
      <c r="Q31" s="104"/>
      <c r="R31" s="104"/>
      <c r="S31" s="104"/>
      <c r="T31" s="104"/>
      <c r="U31" s="104"/>
      <c r="V31" s="104"/>
      <c r="W31" s="104"/>
    </row>
    <row r="32" spans="1:23" ht="9.5" customHeight="1">
      <c r="A32" s="106"/>
      <c r="B32" s="104"/>
      <c r="C32" s="104"/>
      <c r="D32" s="104"/>
      <c r="E32" s="104"/>
      <c r="F32" s="104"/>
      <c r="G32" s="104"/>
      <c r="H32" s="104"/>
      <c r="I32" s="104"/>
      <c r="J32" s="104"/>
      <c r="K32" s="104"/>
      <c r="L32" s="104"/>
      <c r="M32" s="104"/>
      <c r="N32" s="104"/>
      <c r="O32" s="104"/>
      <c r="P32" s="106"/>
      <c r="Q32" s="104"/>
      <c r="R32" s="104"/>
      <c r="S32" s="104"/>
      <c r="T32" s="104"/>
      <c r="U32" s="104"/>
      <c r="V32" s="104"/>
      <c r="W32" s="104"/>
    </row>
    <row r="33" spans="1:23" ht="20" customHeight="1">
      <c r="A33" s="106"/>
      <c r="B33" s="104"/>
      <c r="C33" s="104"/>
      <c r="D33" s="104"/>
      <c r="E33" s="104"/>
      <c r="F33" s="104"/>
      <c r="G33" s="104"/>
      <c r="H33" s="104"/>
      <c r="I33" s="104"/>
      <c r="J33" s="104"/>
      <c r="K33" s="104"/>
      <c r="L33" s="104"/>
      <c r="M33" s="104"/>
      <c r="N33" s="104"/>
      <c r="O33" s="104"/>
      <c r="P33" s="106"/>
      <c r="Q33" s="104"/>
      <c r="R33" s="104"/>
      <c r="S33" s="104"/>
      <c r="T33" s="104"/>
      <c r="U33" s="104"/>
      <c r="V33" s="104"/>
      <c r="W33" s="104"/>
    </row>
    <row r="34" spans="1:23" ht="20" customHeight="1">
      <c r="A34" s="106"/>
      <c r="B34" s="104"/>
      <c r="C34" s="104"/>
      <c r="D34" s="104"/>
      <c r="E34" s="104"/>
      <c r="F34" s="104"/>
      <c r="G34" s="104"/>
      <c r="H34" s="104"/>
      <c r="I34" s="104"/>
      <c r="J34" s="104"/>
      <c r="K34" s="104"/>
      <c r="L34" s="104"/>
      <c r="M34" s="104"/>
      <c r="N34" s="104"/>
      <c r="O34" s="104"/>
      <c r="P34" s="106"/>
      <c r="Q34" s="104"/>
      <c r="R34" s="104"/>
      <c r="S34" s="104"/>
      <c r="T34" s="104"/>
      <c r="U34" s="104"/>
      <c r="V34" s="104"/>
      <c r="W34" s="104"/>
    </row>
    <row r="35" spans="1:23" ht="20" customHeight="1">
      <c r="A35" s="106"/>
      <c r="B35" s="104"/>
      <c r="C35" s="104"/>
      <c r="D35" s="104"/>
      <c r="E35" s="104"/>
      <c r="F35" s="104"/>
      <c r="G35" s="104"/>
      <c r="H35" s="104"/>
      <c r="I35" s="104"/>
      <c r="J35" s="104"/>
      <c r="K35" s="104"/>
      <c r="L35" s="104"/>
      <c r="M35" s="104"/>
      <c r="N35" s="104"/>
      <c r="O35" s="104"/>
      <c r="P35" s="106"/>
      <c r="Q35" s="104"/>
      <c r="R35" s="104"/>
      <c r="S35" s="104"/>
      <c r="T35" s="104"/>
      <c r="U35" s="104"/>
      <c r="V35" s="104"/>
      <c r="W35" s="104"/>
    </row>
    <row r="36" spans="1:23" ht="9.5" customHeight="1">
      <c r="A36" s="106"/>
      <c r="B36" s="104"/>
      <c r="C36" s="104"/>
      <c r="D36" s="104"/>
      <c r="E36" s="104"/>
      <c r="F36" s="104"/>
      <c r="G36" s="104"/>
      <c r="H36" s="104"/>
      <c r="I36" s="104"/>
      <c r="J36" s="104"/>
      <c r="K36" s="104"/>
      <c r="L36" s="104"/>
      <c r="M36" s="104"/>
      <c r="N36" s="104"/>
      <c r="O36" s="104"/>
      <c r="P36" s="106"/>
      <c r="Q36" s="104"/>
      <c r="R36" s="104"/>
      <c r="S36" s="104"/>
      <c r="T36" s="104"/>
      <c r="U36" s="104"/>
      <c r="V36" s="104"/>
      <c r="W36" s="104"/>
    </row>
    <row r="37" spans="1:23" ht="20" customHeight="1">
      <c r="A37" s="106"/>
      <c r="B37" s="104"/>
      <c r="C37" s="104"/>
      <c r="D37" s="104"/>
      <c r="E37" s="104"/>
      <c r="F37" s="104"/>
      <c r="G37" s="104"/>
      <c r="H37" s="104"/>
      <c r="I37" s="104"/>
      <c r="J37" s="104"/>
      <c r="K37" s="104"/>
      <c r="L37" s="104"/>
      <c r="M37" s="104"/>
      <c r="N37" s="104"/>
      <c r="O37" s="104"/>
      <c r="P37" s="106"/>
      <c r="Q37" s="104"/>
      <c r="R37" s="104"/>
      <c r="S37" s="104"/>
      <c r="T37" s="104"/>
      <c r="U37" s="104"/>
      <c r="V37" s="104"/>
      <c r="W37" s="104"/>
    </row>
    <row r="38" spans="1:23" ht="20" customHeight="1">
      <c r="A38" s="106"/>
      <c r="B38" s="104"/>
      <c r="C38" s="104"/>
      <c r="D38" s="145"/>
      <c r="E38" s="145"/>
      <c r="F38" s="104"/>
      <c r="G38" s="104"/>
      <c r="H38" s="104"/>
      <c r="I38" s="104"/>
      <c r="J38" s="104"/>
      <c r="K38" s="104"/>
      <c r="L38" s="104"/>
      <c r="M38" s="104"/>
      <c r="N38" s="104"/>
      <c r="O38" s="104"/>
      <c r="P38" s="106"/>
      <c r="Q38" s="104"/>
      <c r="R38" s="104"/>
      <c r="S38" s="104"/>
      <c r="T38" s="104"/>
      <c r="U38" s="104"/>
      <c r="V38" s="104"/>
      <c r="W38" s="104"/>
    </row>
    <row r="39" spans="1:23" ht="20" customHeight="1">
      <c r="A39" s="106"/>
      <c r="B39" s="104"/>
      <c r="C39" s="104"/>
      <c r="D39" s="146"/>
      <c r="E39" s="146"/>
      <c r="F39" s="104"/>
      <c r="G39" s="104"/>
      <c r="H39" s="104"/>
      <c r="I39" s="104"/>
      <c r="J39" s="104"/>
      <c r="K39" s="104"/>
      <c r="L39" s="104"/>
      <c r="M39" s="104"/>
      <c r="N39" s="104"/>
      <c r="O39" s="104"/>
      <c r="P39" s="106"/>
      <c r="Q39" s="104"/>
      <c r="R39" s="104"/>
      <c r="S39" s="104"/>
      <c r="T39" s="104"/>
      <c r="U39" s="104"/>
      <c r="V39" s="104"/>
      <c r="W39" s="104"/>
    </row>
    <row r="40" spans="1:23" ht="20" customHeight="1">
      <c r="A40" s="106"/>
      <c r="B40" s="104"/>
      <c r="C40" s="104"/>
      <c r="D40" s="145"/>
      <c r="E40" s="145"/>
      <c r="F40" s="104"/>
      <c r="G40" s="104"/>
      <c r="H40" s="104"/>
      <c r="I40" s="104"/>
      <c r="J40" s="104"/>
      <c r="K40" s="104"/>
      <c r="L40" s="104"/>
      <c r="M40" s="104"/>
      <c r="N40" s="104"/>
      <c r="O40" s="104"/>
      <c r="P40" s="106"/>
      <c r="Q40" s="104"/>
      <c r="R40" s="104"/>
      <c r="S40" s="104"/>
      <c r="T40" s="104"/>
      <c r="U40" s="104"/>
      <c r="V40" s="104"/>
      <c r="W40" s="104"/>
    </row>
    <row r="41" spans="1:23" ht="20" customHeight="1">
      <c r="A41" s="106"/>
      <c r="B41" s="104"/>
      <c r="C41" s="104"/>
      <c r="D41" s="104"/>
      <c r="E41" s="104"/>
      <c r="F41" s="104"/>
      <c r="G41" s="104"/>
      <c r="H41" s="104"/>
      <c r="I41" s="104"/>
      <c r="J41" s="104"/>
      <c r="K41" s="104"/>
      <c r="L41" s="104"/>
      <c r="M41" s="104"/>
      <c r="N41" s="104"/>
      <c r="O41" s="104"/>
      <c r="P41" s="106"/>
      <c r="Q41" s="104"/>
      <c r="R41" s="104"/>
      <c r="S41" s="104"/>
      <c r="T41" s="104"/>
      <c r="U41" s="104"/>
      <c r="V41" s="104"/>
      <c r="W41" s="104"/>
    </row>
    <row r="42" spans="1:23" ht="20" customHeight="1">
      <c r="A42" s="106"/>
      <c r="B42" s="104"/>
      <c r="C42" s="104"/>
      <c r="D42" s="104"/>
      <c r="E42" s="104"/>
      <c r="F42" s="104"/>
      <c r="G42" s="104"/>
      <c r="H42" s="104"/>
      <c r="I42" s="104"/>
      <c r="J42" s="104"/>
      <c r="K42" s="104"/>
      <c r="L42" s="104"/>
      <c r="M42" s="104"/>
      <c r="N42" s="104"/>
      <c r="O42" s="104"/>
      <c r="P42" s="106"/>
      <c r="Q42" s="104"/>
      <c r="R42" s="104"/>
      <c r="S42" s="104"/>
      <c r="T42" s="104"/>
      <c r="U42" s="104"/>
      <c r="V42" s="104"/>
      <c r="W42" s="104"/>
    </row>
    <row r="43" spans="1:23" ht="20" customHeight="1">
      <c r="A43" s="106"/>
      <c r="B43" s="104"/>
      <c r="C43" s="104"/>
      <c r="D43" s="104"/>
      <c r="E43" s="104"/>
      <c r="F43" s="104"/>
      <c r="G43" s="104"/>
      <c r="H43" s="104"/>
      <c r="I43" s="104"/>
      <c r="J43" s="104"/>
      <c r="K43" s="104"/>
      <c r="L43" s="104"/>
      <c r="M43" s="104"/>
      <c r="N43" s="104"/>
      <c r="O43" s="104"/>
      <c r="P43" s="106"/>
      <c r="Q43" s="104"/>
      <c r="R43" s="104"/>
      <c r="S43" s="104"/>
      <c r="T43" s="104"/>
      <c r="U43" s="104"/>
      <c r="V43" s="104"/>
      <c r="W43" s="104"/>
    </row>
    <row r="44" spans="1:23" ht="20" customHeight="1">
      <c r="A44" s="106"/>
      <c r="B44" s="104"/>
      <c r="C44" s="104"/>
      <c r="D44" s="104"/>
      <c r="E44" s="104"/>
      <c r="F44" s="104"/>
      <c r="G44" s="104"/>
      <c r="H44" s="104"/>
      <c r="I44" s="104"/>
      <c r="J44" s="104"/>
      <c r="K44" s="104"/>
      <c r="L44" s="104"/>
      <c r="M44" s="104"/>
      <c r="N44" s="104"/>
      <c r="O44" s="104"/>
      <c r="P44" s="106"/>
      <c r="Q44" s="104"/>
      <c r="R44" s="104"/>
      <c r="S44" s="104"/>
      <c r="T44" s="104"/>
      <c r="U44" s="104"/>
      <c r="V44" s="104"/>
      <c r="W44" s="104"/>
    </row>
    <row r="45" spans="1:23" ht="20" customHeight="1">
      <c r="A45" s="106"/>
      <c r="B45" s="104"/>
      <c r="C45" s="104"/>
      <c r="D45" s="104"/>
      <c r="E45" s="104"/>
      <c r="F45" s="104"/>
      <c r="G45" s="104"/>
      <c r="H45" s="104"/>
      <c r="I45" s="104"/>
      <c r="J45" s="104"/>
      <c r="K45" s="104"/>
      <c r="L45" s="104"/>
      <c r="M45" s="104"/>
      <c r="N45" s="104"/>
      <c r="O45" s="104"/>
      <c r="P45" s="106"/>
      <c r="Q45" s="104"/>
      <c r="R45" s="104"/>
      <c r="S45" s="104"/>
      <c r="T45" s="104"/>
      <c r="U45" s="104"/>
      <c r="V45" s="104"/>
      <c r="W45" s="104"/>
    </row>
    <row r="46" spans="1:23" ht="20" customHeight="1">
      <c r="A46" s="106"/>
      <c r="B46" s="104"/>
      <c r="C46" s="104"/>
      <c r="D46" s="104"/>
      <c r="E46" s="104"/>
      <c r="F46" s="104"/>
      <c r="G46" s="104"/>
      <c r="H46" s="104"/>
      <c r="I46" s="104"/>
      <c r="J46" s="104"/>
      <c r="K46" s="104"/>
      <c r="L46" s="104"/>
      <c r="M46" s="104"/>
      <c r="N46" s="104"/>
      <c r="O46" s="104"/>
      <c r="P46" s="106"/>
      <c r="Q46" s="104"/>
      <c r="R46" s="104"/>
      <c r="S46" s="104"/>
      <c r="T46" s="104"/>
      <c r="U46" s="104"/>
      <c r="V46" s="104"/>
      <c r="W46" s="104"/>
    </row>
    <row r="47" spans="1:23" ht="20" customHeight="1">
      <c r="A47" s="106"/>
      <c r="B47" s="104"/>
      <c r="C47" s="104"/>
      <c r="D47" s="104"/>
      <c r="E47" s="104"/>
      <c r="F47" s="104"/>
      <c r="G47" s="104"/>
      <c r="H47" s="104"/>
      <c r="I47" s="104"/>
      <c r="J47" s="104"/>
      <c r="K47" s="104"/>
      <c r="L47" s="104"/>
      <c r="M47" s="104"/>
      <c r="N47" s="104"/>
      <c r="O47" s="104"/>
      <c r="P47" s="106"/>
      <c r="Q47" s="104"/>
      <c r="R47" s="104"/>
      <c r="S47" s="104"/>
      <c r="T47" s="104"/>
      <c r="U47" s="104"/>
      <c r="V47" s="104"/>
      <c r="W47" s="104"/>
    </row>
    <row r="48" spans="1:23" ht="20" customHeight="1">
      <c r="A48" s="106"/>
      <c r="B48" s="104"/>
      <c r="C48" s="104"/>
      <c r="D48" s="104"/>
      <c r="E48" s="104"/>
      <c r="F48" s="104"/>
      <c r="G48" s="104"/>
      <c r="H48" s="104"/>
      <c r="I48" s="104"/>
      <c r="J48" s="104"/>
      <c r="K48" s="104"/>
      <c r="L48" s="104"/>
      <c r="M48" s="104"/>
      <c r="N48" s="104"/>
      <c r="O48" s="104"/>
      <c r="P48" s="106"/>
      <c r="Q48" s="104"/>
      <c r="R48" s="104"/>
      <c r="S48" s="104"/>
      <c r="T48" s="104"/>
      <c r="U48" s="104"/>
      <c r="V48" s="104"/>
      <c r="W48" s="104"/>
    </row>
    <row r="49" spans="1:23" ht="20" customHeight="1">
      <c r="A49" s="106"/>
      <c r="B49" s="104"/>
      <c r="C49" s="104"/>
      <c r="D49" s="104"/>
      <c r="E49" s="104"/>
      <c r="F49" s="104"/>
      <c r="G49" s="104"/>
      <c r="H49" s="104"/>
      <c r="I49" s="104"/>
      <c r="J49" s="104"/>
      <c r="K49" s="104"/>
      <c r="L49" s="104"/>
      <c r="M49" s="104"/>
      <c r="N49" s="104"/>
      <c r="O49" s="104"/>
      <c r="P49" s="106"/>
      <c r="Q49" s="104"/>
      <c r="R49" s="104"/>
      <c r="S49" s="104"/>
      <c r="T49" s="104"/>
      <c r="U49" s="104"/>
      <c r="V49" s="104"/>
      <c r="W49" s="104"/>
    </row>
    <row r="50" spans="1:23" ht="20" customHeight="1">
      <c r="A50" s="106"/>
      <c r="B50" s="104"/>
      <c r="C50" s="104"/>
      <c r="D50" s="104"/>
      <c r="E50" s="104"/>
      <c r="F50" s="104"/>
      <c r="G50" s="104"/>
      <c r="H50" s="104"/>
      <c r="I50" s="104"/>
      <c r="J50" s="104"/>
      <c r="K50" s="104"/>
      <c r="L50" s="104"/>
      <c r="M50" s="104"/>
      <c r="N50" s="104"/>
      <c r="O50" s="104"/>
      <c r="P50" s="106"/>
      <c r="Q50" s="104"/>
      <c r="R50" s="104"/>
      <c r="S50" s="104"/>
      <c r="T50" s="104"/>
      <c r="U50" s="104"/>
      <c r="V50" s="104"/>
      <c r="W50" s="104"/>
    </row>
    <row r="51" spans="1:23" ht="20" customHeight="1">
      <c r="A51" s="106"/>
      <c r="B51" s="104"/>
      <c r="C51" s="104"/>
      <c r="D51" s="104"/>
      <c r="E51" s="104"/>
      <c r="F51" s="104"/>
      <c r="G51" s="104"/>
      <c r="H51" s="104"/>
      <c r="I51" s="104"/>
      <c r="J51" s="104"/>
      <c r="K51" s="104"/>
      <c r="L51" s="104"/>
      <c r="M51" s="104"/>
      <c r="N51" s="104"/>
      <c r="O51" s="104"/>
      <c r="P51" s="106"/>
      <c r="Q51" s="104"/>
      <c r="R51" s="104"/>
      <c r="S51" s="104"/>
      <c r="T51" s="104"/>
      <c r="U51" s="104"/>
      <c r="V51" s="104"/>
      <c r="W51" s="104"/>
    </row>
    <row r="52" spans="1:23" ht="20" customHeight="1">
      <c r="A52" s="106"/>
      <c r="B52" s="104"/>
      <c r="C52" s="104"/>
      <c r="D52" s="104"/>
      <c r="E52" s="104"/>
      <c r="F52" s="104"/>
      <c r="G52" s="104"/>
      <c r="H52" s="104"/>
      <c r="I52" s="104"/>
      <c r="J52" s="104"/>
      <c r="K52" s="104"/>
      <c r="L52" s="104"/>
      <c r="M52" s="104"/>
      <c r="N52" s="104"/>
      <c r="O52" s="104"/>
      <c r="P52" s="106"/>
      <c r="Q52" s="104"/>
      <c r="R52" s="104"/>
      <c r="S52" s="104"/>
      <c r="T52" s="104"/>
      <c r="U52" s="104"/>
      <c r="V52" s="104"/>
      <c r="W52" s="104"/>
    </row>
    <row r="53" spans="1:23" ht="20" customHeight="1">
      <c r="A53" s="106"/>
      <c r="B53" s="104"/>
      <c r="C53" s="104"/>
      <c r="D53" s="104"/>
      <c r="E53" s="104"/>
      <c r="F53" s="104"/>
      <c r="G53" s="104"/>
      <c r="H53" s="104"/>
      <c r="I53" s="104"/>
      <c r="J53" s="104"/>
      <c r="K53" s="104"/>
      <c r="L53" s="104"/>
      <c r="M53" s="104"/>
      <c r="N53" s="104"/>
      <c r="O53" s="104"/>
      <c r="P53" s="106"/>
      <c r="Q53" s="104"/>
      <c r="R53" s="104"/>
      <c r="S53" s="104"/>
      <c r="T53" s="104"/>
      <c r="U53" s="104"/>
      <c r="V53" s="104"/>
      <c r="W53" s="104"/>
    </row>
    <row r="54" spans="1:23" ht="20" customHeight="1">
      <c r="A54" s="106"/>
      <c r="B54" s="104"/>
      <c r="C54" s="104"/>
      <c r="D54" s="104"/>
      <c r="E54" s="104"/>
      <c r="F54" s="104"/>
      <c r="G54" s="104"/>
      <c r="H54" s="104"/>
      <c r="I54" s="104"/>
      <c r="J54" s="104"/>
      <c r="K54" s="104"/>
      <c r="L54" s="104"/>
      <c r="M54" s="104"/>
      <c r="N54" s="104"/>
      <c r="O54" s="104"/>
      <c r="P54" s="106"/>
      <c r="Q54" s="104"/>
      <c r="R54" s="104"/>
      <c r="S54" s="104"/>
      <c r="T54" s="104"/>
      <c r="U54" s="104"/>
      <c r="V54" s="104"/>
      <c r="W54" s="104"/>
    </row>
    <row r="55" spans="1:23" ht="20" customHeight="1">
      <c r="A55" s="106"/>
      <c r="B55" s="104"/>
      <c r="C55" s="104"/>
      <c r="D55" s="104"/>
      <c r="E55" s="104"/>
      <c r="F55" s="104"/>
      <c r="G55" s="104"/>
      <c r="H55" s="104"/>
      <c r="I55" s="104"/>
      <c r="J55" s="104"/>
      <c r="K55" s="104"/>
      <c r="L55" s="104"/>
      <c r="M55" s="104"/>
      <c r="N55" s="104"/>
      <c r="O55" s="104"/>
      <c r="P55" s="106"/>
      <c r="Q55" s="104"/>
      <c r="R55" s="104"/>
      <c r="S55" s="104"/>
      <c r="T55" s="104"/>
      <c r="U55" s="104"/>
      <c r="V55" s="104"/>
      <c r="W55" s="104"/>
    </row>
    <row r="56" spans="1:23" ht="20" customHeight="1">
      <c r="A56" s="165"/>
      <c r="B56" s="104"/>
      <c r="C56" s="104"/>
      <c r="D56" s="104"/>
      <c r="E56" s="104"/>
      <c r="F56" s="104"/>
      <c r="G56" s="104"/>
      <c r="H56" s="104"/>
      <c r="I56" s="104"/>
      <c r="J56" s="104"/>
      <c r="K56" s="104"/>
      <c r="L56" s="104"/>
      <c r="M56" s="104"/>
      <c r="N56" s="104"/>
      <c r="O56" s="104"/>
      <c r="P56" s="165"/>
      <c r="Q56" s="104"/>
      <c r="R56" s="104"/>
      <c r="S56" s="104"/>
      <c r="T56" s="104"/>
      <c r="U56" s="104"/>
      <c r="V56" s="104"/>
      <c r="W56" s="104"/>
    </row>
    <row r="57" spans="1:23" ht="20" customHeight="1">
      <c r="A57" s="165"/>
      <c r="B57" s="104"/>
      <c r="C57" s="104"/>
      <c r="D57" s="104"/>
      <c r="E57" s="104"/>
      <c r="F57" s="104"/>
      <c r="G57" s="104"/>
      <c r="H57" s="104"/>
      <c r="I57" s="104"/>
      <c r="J57" s="104"/>
      <c r="K57" s="104"/>
      <c r="L57" s="104"/>
      <c r="M57" s="104"/>
      <c r="N57" s="104"/>
      <c r="O57" s="104"/>
      <c r="P57" s="165"/>
      <c r="Q57" s="104"/>
      <c r="R57" s="104"/>
      <c r="S57" s="104"/>
      <c r="T57" s="104"/>
      <c r="U57" s="104"/>
      <c r="V57" s="104"/>
      <c r="W57" s="104"/>
    </row>
    <row r="58" spans="1:23" ht="20" customHeight="1">
      <c r="A58" s="165"/>
      <c r="B58" s="104"/>
      <c r="C58" s="104"/>
      <c r="D58" s="104"/>
      <c r="E58" s="104"/>
      <c r="F58" s="104"/>
      <c r="G58" s="104"/>
      <c r="H58" s="104"/>
      <c r="I58" s="104"/>
      <c r="J58" s="104"/>
      <c r="K58" s="104"/>
      <c r="L58" s="104"/>
      <c r="M58" s="104"/>
      <c r="N58" s="104"/>
      <c r="O58" s="104"/>
      <c r="P58" s="165"/>
      <c r="Q58" s="104"/>
      <c r="R58" s="104"/>
      <c r="S58" s="104"/>
      <c r="T58" s="104"/>
      <c r="U58" s="104"/>
      <c r="V58" s="104"/>
      <c r="W58" s="104"/>
    </row>
    <row r="59" spans="1:23" ht="20" customHeight="1">
      <c r="A59" s="165"/>
      <c r="B59" s="104"/>
      <c r="C59" s="104"/>
      <c r="D59" s="104"/>
      <c r="E59" s="104"/>
      <c r="F59" s="104"/>
      <c r="G59" s="104"/>
      <c r="H59" s="104"/>
      <c r="I59" s="104"/>
      <c r="J59" s="104"/>
      <c r="K59" s="104"/>
      <c r="L59" s="104"/>
      <c r="M59" s="104"/>
      <c r="N59" s="104"/>
      <c r="O59" s="104"/>
      <c r="P59" s="165"/>
      <c r="Q59" s="104"/>
      <c r="R59" s="104"/>
      <c r="S59" s="104"/>
      <c r="T59" s="104"/>
      <c r="U59" s="104"/>
      <c r="V59" s="104"/>
      <c r="W59" s="104"/>
    </row>
    <row r="60" spans="1:23" ht="20" customHeight="1">
      <c r="A60" s="165"/>
      <c r="B60" s="104"/>
      <c r="C60" s="104"/>
      <c r="D60" s="104"/>
      <c r="E60" s="104"/>
      <c r="F60" s="104"/>
      <c r="G60" s="104"/>
      <c r="H60" s="104"/>
      <c r="I60" s="104"/>
      <c r="J60" s="104"/>
      <c r="K60" s="104"/>
      <c r="L60" s="104"/>
      <c r="M60" s="104"/>
      <c r="N60" s="104"/>
      <c r="O60" s="104"/>
      <c r="P60" s="165"/>
      <c r="Q60" s="104"/>
      <c r="R60" s="104"/>
      <c r="S60" s="104"/>
      <c r="T60" s="104"/>
      <c r="U60" s="104"/>
      <c r="V60" s="104"/>
      <c r="W60" s="104"/>
    </row>
    <row r="61" spans="1:23" ht="20" customHeight="1">
      <c r="A61" s="165"/>
      <c r="B61" s="104"/>
      <c r="C61" s="104"/>
      <c r="D61" s="104"/>
      <c r="E61" s="104"/>
      <c r="F61" s="104"/>
      <c r="G61" s="104"/>
      <c r="H61" s="104"/>
      <c r="I61" s="104"/>
      <c r="J61" s="104"/>
      <c r="K61" s="104"/>
      <c r="L61" s="104"/>
      <c r="M61" s="104"/>
      <c r="N61" s="104"/>
      <c r="O61" s="104"/>
      <c r="P61" s="165"/>
      <c r="Q61" s="104"/>
      <c r="R61" s="104"/>
      <c r="S61" s="104"/>
      <c r="T61" s="104"/>
      <c r="U61" s="104"/>
      <c r="V61" s="104"/>
      <c r="W61" s="104"/>
    </row>
    <row r="62" spans="1:23" ht="20" customHeight="1">
      <c r="A62" s="165"/>
      <c r="B62" s="104"/>
      <c r="C62" s="104"/>
      <c r="D62" s="104"/>
      <c r="E62" s="104"/>
      <c r="F62" s="104"/>
      <c r="G62" s="104"/>
      <c r="H62" s="104"/>
      <c r="I62" s="104"/>
      <c r="J62" s="104"/>
      <c r="K62" s="104"/>
      <c r="L62" s="104"/>
      <c r="M62" s="104"/>
      <c r="N62" s="104"/>
      <c r="O62" s="104"/>
      <c r="P62" s="165"/>
      <c r="Q62" s="104"/>
      <c r="R62" s="104"/>
      <c r="S62" s="104"/>
      <c r="T62" s="104"/>
      <c r="U62" s="104"/>
      <c r="V62" s="104"/>
      <c r="W62" s="104"/>
    </row>
    <row r="63" spans="1:23" ht="20" customHeight="1"/>
    <row r="64" spans="1:23" ht="20" customHeight="1"/>
    <row r="65" spans="2:23" ht="20" customHeight="1"/>
    <row r="66" spans="2:23" ht="20" customHeight="1"/>
    <row r="67" spans="2:23" ht="20" customHeight="1"/>
    <row r="68" spans="2:23" ht="20" customHeight="1"/>
    <row r="69" spans="2:23" ht="20" customHeight="1"/>
    <row r="70" spans="2:23" s="93" customFormat="1" ht="20" customHeight="1">
      <c r="B70" s="151"/>
      <c r="C70" s="151"/>
      <c r="D70" s="151"/>
      <c r="E70" s="151"/>
      <c r="F70" s="151"/>
      <c r="G70" s="151"/>
      <c r="H70" s="151"/>
      <c r="I70" s="151"/>
      <c r="J70" s="151"/>
      <c r="K70" s="151"/>
      <c r="L70" s="151"/>
      <c r="M70" s="151"/>
      <c r="N70" s="151"/>
      <c r="O70" s="151"/>
      <c r="Q70" s="151"/>
      <c r="R70" s="151"/>
      <c r="S70" s="151"/>
      <c r="T70" s="151"/>
      <c r="U70" s="151"/>
      <c r="V70" s="151"/>
      <c r="W70" s="151"/>
    </row>
    <row r="71" spans="2:23" s="93" customFormat="1" ht="20" customHeight="1">
      <c r="B71" s="151"/>
      <c r="C71" s="151"/>
      <c r="D71" s="151"/>
      <c r="E71" s="151"/>
      <c r="F71" s="151"/>
      <c r="G71" s="151"/>
      <c r="H71" s="151"/>
      <c r="I71" s="151"/>
      <c r="J71" s="151"/>
      <c r="K71" s="151"/>
      <c r="L71" s="151"/>
      <c r="M71" s="151"/>
      <c r="N71" s="151"/>
      <c r="O71" s="151"/>
      <c r="Q71" s="151"/>
      <c r="R71" s="151"/>
      <c r="S71" s="151"/>
      <c r="T71" s="151"/>
      <c r="U71" s="151"/>
      <c r="V71" s="151"/>
      <c r="W71" s="151"/>
    </row>
    <row r="72" spans="2:23" s="93" customFormat="1" ht="20" customHeight="1">
      <c r="B72" s="151"/>
      <c r="C72" s="151"/>
      <c r="D72" s="151"/>
      <c r="E72" s="151"/>
      <c r="F72" s="151"/>
      <c r="G72" s="151"/>
      <c r="H72" s="151"/>
      <c r="I72" s="151"/>
      <c r="J72" s="151"/>
      <c r="K72" s="151"/>
      <c r="L72" s="151"/>
      <c r="M72" s="151"/>
      <c r="N72" s="151"/>
      <c r="O72" s="151"/>
      <c r="Q72" s="151"/>
      <c r="R72" s="151"/>
      <c r="S72" s="151"/>
      <c r="T72" s="151"/>
      <c r="U72" s="151"/>
      <c r="V72" s="151"/>
      <c r="W72" s="151"/>
    </row>
    <row r="73" spans="2:23" s="93" customFormat="1" ht="20" customHeight="1">
      <c r="B73" s="151"/>
      <c r="C73" s="151"/>
      <c r="D73" s="151"/>
      <c r="E73" s="151"/>
      <c r="F73" s="151"/>
      <c r="G73" s="151"/>
      <c r="H73" s="151"/>
      <c r="I73" s="151"/>
      <c r="J73" s="151"/>
      <c r="K73" s="151"/>
      <c r="L73" s="151"/>
      <c r="M73" s="151"/>
      <c r="N73" s="151"/>
      <c r="O73" s="151"/>
      <c r="Q73" s="151"/>
      <c r="R73" s="151"/>
      <c r="S73" s="151"/>
      <c r="T73" s="151"/>
      <c r="U73" s="151"/>
      <c r="V73" s="151"/>
      <c r="W73" s="151"/>
    </row>
    <row r="74" spans="2:23" s="93" customFormat="1" ht="20" customHeight="1">
      <c r="B74" s="151"/>
      <c r="C74" s="151"/>
      <c r="D74" s="151"/>
      <c r="E74" s="151"/>
      <c r="F74" s="151"/>
      <c r="G74" s="151"/>
      <c r="H74" s="151"/>
      <c r="I74" s="151"/>
      <c r="J74" s="151"/>
      <c r="K74" s="151"/>
      <c r="L74" s="151"/>
      <c r="M74" s="151"/>
      <c r="N74" s="151"/>
      <c r="O74" s="151"/>
      <c r="Q74" s="151"/>
      <c r="R74" s="151"/>
      <c r="S74" s="151"/>
      <c r="T74" s="151"/>
      <c r="U74" s="151"/>
      <c r="V74" s="151"/>
      <c r="W74" s="151"/>
    </row>
    <row r="75" spans="2:23" s="93" customFormat="1" ht="20" customHeight="1">
      <c r="B75" s="151"/>
      <c r="C75" s="151"/>
      <c r="D75" s="151"/>
      <c r="E75" s="151"/>
      <c r="F75" s="151"/>
      <c r="G75" s="151"/>
      <c r="H75" s="151"/>
      <c r="I75" s="151"/>
      <c r="J75" s="151"/>
      <c r="K75" s="151"/>
      <c r="L75" s="151"/>
      <c r="M75" s="151"/>
      <c r="N75" s="151"/>
      <c r="O75" s="151"/>
      <c r="Q75" s="151"/>
      <c r="R75" s="151"/>
      <c r="S75" s="151"/>
      <c r="T75" s="151"/>
      <c r="U75" s="151"/>
      <c r="V75" s="151"/>
      <c r="W75" s="151"/>
    </row>
    <row r="76" spans="2:23" s="93" customFormat="1" ht="20" customHeight="1">
      <c r="B76" s="151"/>
      <c r="C76" s="151"/>
      <c r="D76" s="151"/>
      <c r="E76" s="151"/>
      <c r="F76" s="151"/>
      <c r="G76" s="151"/>
      <c r="H76" s="151"/>
      <c r="I76" s="151"/>
      <c r="J76" s="151"/>
      <c r="K76" s="151"/>
      <c r="L76" s="151"/>
      <c r="M76" s="151"/>
      <c r="N76" s="151"/>
      <c r="O76" s="151"/>
      <c r="Q76" s="151"/>
      <c r="R76" s="151"/>
      <c r="S76" s="151"/>
      <c r="T76" s="151"/>
      <c r="U76" s="151"/>
      <c r="V76" s="151"/>
      <c r="W76" s="151"/>
    </row>
    <row r="77" spans="2:23" s="93" customFormat="1" ht="20" customHeight="1">
      <c r="B77" s="151"/>
      <c r="C77" s="151"/>
      <c r="D77" s="151"/>
      <c r="E77" s="151"/>
      <c r="F77" s="151"/>
      <c r="G77" s="151"/>
      <c r="H77" s="151"/>
      <c r="I77" s="151"/>
      <c r="J77" s="151"/>
      <c r="K77" s="151"/>
      <c r="L77" s="151"/>
      <c r="M77" s="151"/>
      <c r="N77" s="151"/>
      <c r="O77" s="151"/>
      <c r="Q77" s="151"/>
      <c r="R77" s="151"/>
      <c r="S77" s="151"/>
      <c r="T77" s="151"/>
      <c r="U77" s="151"/>
      <c r="V77" s="151"/>
      <c r="W77" s="151"/>
    </row>
    <row r="78" spans="2:23" s="93" customFormat="1" ht="20" customHeight="1">
      <c r="B78" s="151"/>
      <c r="C78" s="151"/>
      <c r="D78" s="151"/>
      <c r="E78" s="151"/>
      <c r="F78" s="151"/>
      <c r="G78" s="151"/>
      <c r="H78" s="151"/>
      <c r="I78" s="151"/>
      <c r="J78" s="151"/>
      <c r="K78" s="151"/>
      <c r="L78" s="151"/>
      <c r="M78" s="151"/>
      <c r="N78" s="151"/>
      <c r="O78" s="151"/>
      <c r="Q78" s="151"/>
      <c r="R78" s="151"/>
      <c r="S78" s="151"/>
      <c r="T78" s="151"/>
      <c r="U78" s="151"/>
      <c r="V78" s="151"/>
      <c r="W78" s="151"/>
    </row>
    <row r="79" spans="2:23" s="93" customFormat="1" ht="20" customHeight="1">
      <c r="B79" s="151"/>
      <c r="C79" s="151"/>
      <c r="D79" s="151"/>
      <c r="E79" s="151"/>
      <c r="F79" s="151"/>
      <c r="G79" s="151"/>
      <c r="H79" s="151"/>
      <c r="I79" s="151"/>
      <c r="J79" s="151"/>
      <c r="K79" s="151"/>
      <c r="L79" s="151"/>
      <c r="M79" s="151"/>
      <c r="N79" s="151"/>
      <c r="O79" s="151"/>
      <c r="Q79" s="151"/>
      <c r="R79" s="151"/>
      <c r="S79" s="151"/>
      <c r="T79" s="151"/>
      <c r="U79" s="151"/>
      <c r="V79" s="151"/>
      <c r="W79" s="151"/>
    </row>
    <row r="80" spans="2:23" s="93" customFormat="1" ht="20" customHeight="1">
      <c r="B80" s="151"/>
      <c r="C80" s="151"/>
      <c r="D80" s="151"/>
      <c r="E80" s="151"/>
      <c r="F80" s="151"/>
      <c r="G80" s="151"/>
      <c r="H80" s="151"/>
      <c r="I80" s="151"/>
      <c r="J80" s="151"/>
      <c r="K80" s="151"/>
      <c r="L80" s="151"/>
      <c r="M80" s="151"/>
      <c r="N80" s="151"/>
      <c r="O80" s="151"/>
      <c r="Q80" s="151"/>
      <c r="R80" s="151"/>
      <c r="S80" s="151"/>
      <c r="T80" s="151"/>
      <c r="U80" s="151"/>
      <c r="V80" s="151"/>
      <c r="W80" s="151"/>
    </row>
    <row r="81" spans="2:23" s="93" customFormat="1" ht="20" customHeight="1">
      <c r="B81" s="151"/>
      <c r="C81" s="151"/>
      <c r="D81" s="151"/>
      <c r="E81" s="151"/>
      <c r="F81" s="151"/>
      <c r="G81" s="151"/>
      <c r="H81" s="151"/>
      <c r="I81" s="151"/>
      <c r="J81" s="151"/>
      <c r="K81" s="151"/>
      <c r="L81" s="151"/>
      <c r="M81" s="151"/>
      <c r="N81" s="151"/>
      <c r="O81" s="151"/>
      <c r="Q81" s="151"/>
      <c r="R81" s="151"/>
      <c r="S81" s="151"/>
      <c r="T81" s="151"/>
      <c r="U81" s="151"/>
      <c r="V81" s="151"/>
      <c r="W81" s="151"/>
    </row>
    <row r="82" spans="2:23" s="93" customFormat="1" ht="20" customHeight="1">
      <c r="B82" s="151"/>
      <c r="C82" s="151"/>
      <c r="D82" s="151"/>
      <c r="E82" s="151"/>
      <c r="F82" s="151"/>
      <c r="G82" s="151"/>
      <c r="H82" s="151"/>
      <c r="I82" s="151"/>
      <c r="J82" s="151"/>
      <c r="K82" s="151"/>
      <c r="L82" s="151"/>
      <c r="M82" s="151"/>
      <c r="N82" s="151"/>
      <c r="O82" s="151"/>
      <c r="Q82" s="151"/>
      <c r="R82" s="151"/>
      <c r="S82" s="151"/>
      <c r="T82" s="151"/>
      <c r="U82" s="151"/>
      <c r="V82" s="151"/>
      <c r="W82" s="151"/>
    </row>
    <row r="83" spans="2:23" s="93" customFormat="1" ht="20" customHeight="1">
      <c r="B83" s="151"/>
      <c r="C83" s="151"/>
      <c r="D83" s="151"/>
      <c r="E83" s="151"/>
      <c r="F83" s="151"/>
      <c r="G83" s="151"/>
      <c r="H83" s="151"/>
      <c r="I83" s="151"/>
      <c r="J83" s="151"/>
      <c r="K83" s="151"/>
      <c r="L83" s="151"/>
      <c r="M83" s="151"/>
      <c r="N83" s="151"/>
      <c r="O83" s="151"/>
      <c r="Q83" s="151"/>
      <c r="R83" s="151"/>
      <c r="S83" s="151"/>
      <c r="T83" s="151"/>
      <c r="U83" s="151"/>
      <c r="V83" s="151"/>
      <c r="W83" s="151"/>
    </row>
    <row r="84" spans="2:23" s="93" customFormat="1" ht="20" customHeight="1">
      <c r="B84" s="151"/>
      <c r="C84" s="151"/>
      <c r="D84" s="151"/>
      <c r="E84" s="151"/>
      <c r="F84" s="151"/>
      <c r="G84" s="151"/>
      <c r="H84" s="151"/>
      <c r="I84" s="151"/>
      <c r="J84" s="151"/>
      <c r="K84" s="151"/>
      <c r="L84" s="151"/>
      <c r="M84" s="151"/>
      <c r="N84" s="151"/>
      <c r="O84" s="151"/>
      <c r="Q84" s="151"/>
      <c r="R84" s="151"/>
      <c r="S84" s="151"/>
      <c r="T84" s="151"/>
      <c r="U84" s="151"/>
      <c r="V84" s="151"/>
      <c r="W84" s="151"/>
    </row>
    <row r="85" spans="2:23" s="93" customFormat="1" ht="20" customHeight="1">
      <c r="B85" s="151"/>
      <c r="C85" s="151"/>
      <c r="D85" s="151"/>
      <c r="E85" s="151"/>
      <c r="F85" s="151"/>
      <c r="G85" s="151"/>
      <c r="H85" s="151"/>
      <c r="I85" s="151"/>
      <c r="J85" s="151"/>
      <c r="K85" s="151"/>
      <c r="L85" s="151"/>
      <c r="M85" s="151"/>
      <c r="N85" s="151"/>
      <c r="O85" s="151"/>
      <c r="Q85" s="151"/>
      <c r="R85" s="151"/>
      <c r="S85" s="151"/>
      <c r="T85" s="151"/>
      <c r="U85" s="151"/>
      <c r="V85" s="151"/>
      <c r="W85" s="151"/>
    </row>
    <row r="86" spans="2:23" s="93" customFormat="1" ht="20" customHeight="1">
      <c r="B86" s="151"/>
      <c r="C86" s="151"/>
      <c r="D86" s="151"/>
      <c r="E86" s="151"/>
      <c r="F86" s="151"/>
      <c r="G86" s="151"/>
      <c r="H86" s="151"/>
      <c r="I86" s="151"/>
      <c r="J86" s="151"/>
      <c r="K86" s="151"/>
      <c r="L86" s="151"/>
      <c r="M86" s="151"/>
      <c r="N86" s="151"/>
      <c r="O86" s="151"/>
      <c r="Q86" s="151"/>
      <c r="R86" s="151"/>
      <c r="S86" s="151"/>
      <c r="T86" s="151"/>
      <c r="U86" s="151"/>
      <c r="V86" s="151"/>
      <c r="W86" s="151"/>
    </row>
    <row r="87" spans="2:23" s="93" customFormat="1" ht="20" customHeight="1">
      <c r="B87" s="151"/>
      <c r="C87" s="151"/>
      <c r="D87" s="151"/>
      <c r="E87" s="151"/>
      <c r="F87" s="151"/>
      <c r="G87" s="151"/>
      <c r="H87" s="151"/>
      <c r="I87" s="151"/>
      <c r="J87" s="151"/>
      <c r="K87" s="151"/>
      <c r="L87" s="151"/>
      <c r="M87" s="151"/>
      <c r="N87" s="151"/>
      <c r="O87" s="151"/>
      <c r="Q87" s="151"/>
      <c r="R87" s="151"/>
      <c r="S87" s="151"/>
      <c r="T87" s="151"/>
      <c r="U87" s="151"/>
      <c r="V87" s="151"/>
      <c r="W87" s="151"/>
    </row>
    <row r="88" spans="2:23" s="93" customFormat="1" ht="20" customHeight="1">
      <c r="B88" s="151"/>
      <c r="C88" s="151"/>
      <c r="D88" s="151"/>
      <c r="E88" s="151"/>
      <c r="F88" s="151"/>
      <c r="G88" s="151"/>
      <c r="H88" s="151"/>
      <c r="I88" s="151"/>
      <c r="J88" s="151"/>
      <c r="K88" s="151"/>
      <c r="L88" s="151"/>
      <c r="M88" s="151"/>
      <c r="N88" s="151"/>
      <c r="O88" s="151"/>
      <c r="Q88" s="151"/>
      <c r="R88" s="151"/>
      <c r="S88" s="151"/>
      <c r="T88" s="151"/>
      <c r="U88" s="151"/>
      <c r="V88" s="151"/>
      <c r="W88" s="151"/>
    </row>
    <row r="89" spans="2:23" s="93" customFormat="1" ht="20" customHeight="1">
      <c r="B89" s="151"/>
      <c r="C89" s="151"/>
      <c r="D89" s="151"/>
      <c r="E89" s="151"/>
      <c r="F89" s="151"/>
      <c r="G89" s="151"/>
      <c r="H89" s="151"/>
      <c r="I89" s="151"/>
      <c r="J89" s="151"/>
      <c r="K89" s="151"/>
      <c r="L89" s="151"/>
      <c r="M89" s="151"/>
      <c r="N89" s="151"/>
      <c r="O89" s="151"/>
      <c r="Q89" s="151"/>
      <c r="R89" s="151"/>
      <c r="S89" s="151"/>
      <c r="T89" s="151"/>
      <c r="U89" s="151"/>
      <c r="V89" s="151"/>
      <c r="W89" s="151"/>
    </row>
    <row r="90" spans="2:23" s="93" customFormat="1" ht="20" customHeight="1">
      <c r="B90" s="151"/>
      <c r="C90" s="151"/>
      <c r="D90" s="151"/>
      <c r="E90" s="151"/>
      <c r="F90" s="151"/>
      <c r="G90" s="151"/>
      <c r="H90" s="151"/>
      <c r="I90" s="151"/>
      <c r="J90" s="151"/>
      <c r="K90" s="151"/>
      <c r="L90" s="151"/>
      <c r="M90" s="151"/>
      <c r="N90" s="151"/>
      <c r="O90" s="151"/>
      <c r="Q90" s="151"/>
      <c r="R90" s="151"/>
      <c r="S90" s="151"/>
      <c r="T90" s="151"/>
      <c r="U90" s="151"/>
      <c r="V90" s="151"/>
      <c r="W90" s="151"/>
    </row>
  </sheetData>
  <sheetProtection formatCells="0" formatColumns="0" formatRows="0" selectLockedCells="1" sort="0" autoFilter="0" pivotTables="0"/>
  <mergeCells count="9">
    <mergeCell ref="B11:C14"/>
    <mergeCell ref="E11:F14"/>
    <mergeCell ref="H11:I14"/>
    <mergeCell ref="K11:L14"/>
    <mergeCell ref="I7:J7"/>
    <mergeCell ref="B10:C10"/>
    <mergeCell ref="E10:F10"/>
    <mergeCell ref="H10:I10"/>
    <mergeCell ref="K10:L10"/>
  </mergeCells>
  <pageMargins left="0.7" right="0.7" top="0.75" bottom="0.75" header="0.3" footer="0.3"/>
  <pageSetup scale="77" orientation="landscape" r:id="rId1"/>
  <colBreaks count="1" manualBreakCount="1">
    <brk id="16" min="5" max="66" man="1"/>
  </col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DAECC-47FF-475C-B610-D1B24445D312}">
  <sheetPr>
    <pageSetUpPr fitToPage="1"/>
  </sheetPr>
  <dimension ref="A1:AI147"/>
  <sheetViews>
    <sheetView showGridLines="0" showRowColHeaders="0" zoomScaleNormal="100" workbookViewId="0">
      <pane ySplit="5" topLeftCell="A40" activePane="bottomLeft" state="frozen"/>
      <selection pane="bottomLeft" activeCell="J90" sqref="J90:O90"/>
    </sheetView>
  </sheetViews>
  <sheetFormatPr baseColWidth="10" defaultColWidth="8.83203125" defaultRowHeight="15"/>
  <cols>
    <col min="1" max="1" width="2.6640625" style="93" customWidth="1"/>
    <col min="2" max="2" width="1.5" style="151" customWidth="1"/>
    <col min="3" max="7" width="8.33203125" style="151" customWidth="1"/>
    <col min="8" max="8" width="10.6640625" style="151" customWidth="1"/>
    <col min="9" max="9" width="1.5" style="151" customWidth="1"/>
    <col min="10" max="13" width="10.6640625" style="151" customWidth="1"/>
    <col min="14" max="15" width="8.33203125" style="151" customWidth="1"/>
    <col min="16" max="16" width="1.5" style="151" customWidth="1"/>
    <col min="17" max="22" width="8.33203125" style="151" customWidth="1"/>
    <col min="23" max="23" width="1.1640625" style="151" customWidth="1"/>
    <col min="24" max="16384" width="8.83203125" style="151"/>
  </cols>
  <sheetData>
    <row r="1" spans="1:35" s="268" customFormat="1" ht="39" customHeight="1">
      <c r="A1" s="266"/>
      <c r="B1" s="266"/>
      <c r="C1" s="266"/>
      <c r="D1" s="266"/>
      <c r="E1" s="266"/>
      <c r="F1" s="266"/>
      <c r="G1" s="266"/>
      <c r="H1" s="266"/>
      <c r="I1" s="266"/>
      <c r="J1" s="266"/>
      <c r="K1" s="266"/>
      <c r="L1" s="266"/>
      <c r="M1" s="266"/>
      <c r="N1" s="266"/>
      <c r="O1" s="266"/>
      <c r="P1" s="266"/>
      <c r="Q1" s="266"/>
      <c r="R1" s="266"/>
      <c r="S1" s="266"/>
      <c r="T1" s="266"/>
    </row>
    <row r="2" spans="1:35" s="398" customFormat="1" ht="25" customHeight="1">
      <c r="A2" s="397"/>
      <c r="J2" s="397"/>
      <c r="K2" s="397"/>
      <c r="P2" s="397"/>
      <c r="X2" s="397"/>
    </row>
    <row r="3" spans="1:35" s="114" customFormat="1" ht="18" customHeight="1">
      <c r="A3" s="331"/>
      <c r="J3" s="331"/>
      <c r="K3" s="331"/>
      <c r="L3" s="392"/>
      <c r="P3" s="331"/>
      <c r="W3" s="392"/>
      <c r="X3" s="331"/>
    </row>
    <row r="4" spans="1:35" s="114" customFormat="1" ht="18" customHeight="1">
      <c r="A4" s="331"/>
      <c r="J4" s="331"/>
      <c r="K4" s="331"/>
      <c r="L4" s="392"/>
      <c r="P4" s="331"/>
      <c r="W4" s="392"/>
      <c r="X4" s="331"/>
    </row>
    <row r="5" spans="1:35" s="114" customFormat="1" ht="20" customHeight="1">
      <c r="A5" s="331"/>
      <c r="J5" s="331"/>
      <c r="K5" s="331"/>
      <c r="L5" s="392"/>
      <c r="P5" s="331"/>
      <c r="W5" s="392"/>
      <c r="X5" s="331"/>
    </row>
    <row r="6" spans="1:35" ht="20" customHeight="1">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row>
    <row r="7" spans="1:35" ht="20" customHeight="1">
      <c r="A7" s="106"/>
      <c r="B7" s="147"/>
      <c r="C7" s="147"/>
      <c r="D7" s="147"/>
      <c r="E7" s="147"/>
      <c r="F7" s="147"/>
      <c r="G7" s="148"/>
      <c r="H7" s="148"/>
      <c r="I7" s="148"/>
      <c r="J7" s="148"/>
      <c r="K7" s="148"/>
      <c r="L7" s="148"/>
      <c r="M7" s="148"/>
      <c r="N7" s="148"/>
      <c r="O7" s="147"/>
      <c r="P7" s="147"/>
      <c r="Q7" s="147"/>
      <c r="R7" s="147"/>
      <c r="S7" s="147"/>
      <c r="T7" s="147"/>
      <c r="U7" s="147"/>
      <c r="V7" s="147"/>
      <c r="W7" s="147"/>
      <c r="X7" s="106"/>
      <c r="Y7" s="106"/>
      <c r="Z7" s="106"/>
      <c r="AA7" s="106"/>
      <c r="AB7" s="106"/>
      <c r="AC7" s="106"/>
      <c r="AD7" s="106"/>
      <c r="AE7" s="106"/>
      <c r="AF7" s="106"/>
      <c r="AG7" s="106"/>
      <c r="AH7" s="106"/>
      <c r="AI7" s="106"/>
    </row>
    <row r="8" spans="1:35" ht="20" customHeight="1">
      <c r="A8" s="106"/>
      <c r="B8" s="147"/>
      <c r="C8" s="147"/>
      <c r="D8" s="147"/>
      <c r="E8" s="147"/>
      <c r="F8" s="147"/>
      <c r="G8" s="149"/>
      <c r="H8" s="148"/>
      <c r="I8" s="148"/>
      <c r="J8" s="148"/>
      <c r="K8" s="148"/>
      <c r="L8" s="148"/>
      <c r="M8" s="148"/>
      <c r="N8" s="148"/>
      <c r="O8" s="147"/>
      <c r="P8" s="147"/>
      <c r="Q8" s="147"/>
      <c r="R8" s="147"/>
      <c r="S8" s="147"/>
      <c r="T8" s="147"/>
      <c r="U8" s="147"/>
      <c r="V8" s="147"/>
      <c r="W8" s="147"/>
      <c r="X8" s="106"/>
      <c r="Y8" s="106"/>
      <c r="Z8" s="106"/>
      <c r="AA8" s="106"/>
      <c r="AB8" s="106"/>
      <c r="AC8" s="106"/>
      <c r="AD8" s="106"/>
      <c r="AE8" s="106"/>
      <c r="AF8" s="106"/>
      <c r="AG8" s="106"/>
      <c r="AH8" s="106"/>
      <c r="AI8" s="106"/>
    </row>
    <row r="9" spans="1:35" ht="20" customHeight="1">
      <c r="A9" s="106"/>
      <c r="B9" s="147"/>
      <c r="C9" s="147"/>
      <c r="D9" s="147"/>
      <c r="E9" s="147"/>
      <c r="F9" s="147"/>
      <c r="G9" s="149"/>
      <c r="H9" s="149"/>
      <c r="I9" s="149"/>
      <c r="J9" s="149"/>
      <c r="K9" s="149"/>
      <c r="L9" s="149"/>
      <c r="M9" s="149"/>
      <c r="N9" s="149"/>
      <c r="O9" s="147"/>
      <c r="P9" s="147"/>
      <c r="Q9" s="147"/>
      <c r="R9" s="147"/>
      <c r="S9" s="147"/>
      <c r="T9" s="147"/>
      <c r="U9" s="147"/>
      <c r="V9" s="147"/>
      <c r="W9" s="147"/>
      <c r="X9" s="106"/>
      <c r="Y9" s="106"/>
      <c r="Z9" s="106"/>
      <c r="AA9" s="106"/>
      <c r="AB9" s="106"/>
      <c r="AC9" s="106"/>
      <c r="AD9" s="106"/>
      <c r="AE9" s="106"/>
      <c r="AF9" s="106"/>
      <c r="AG9" s="106"/>
      <c r="AH9" s="106"/>
      <c r="AI9" s="106"/>
    </row>
    <row r="10" spans="1:35" ht="20" customHeight="1">
      <c r="A10" s="106"/>
      <c r="B10" s="147"/>
      <c r="C10" s="147"/>
      <c r="D10" s="147"/>
      <c r="E10" s="147"/>
      <c r="F10" s="147"/>
      <c r="G10" s="147"/>
      <c r="H10" s="147"/>
      <c r="I10" s="147"/>
      <c r="J10" s="147"/>
      <c r="K10" s="147"/>
      <c r="L10" s="147"/>
      <c r="M10" s="147"/>
      <c r="N10" s="147"/>
      <c r="O10" s="147"/>
      <c r="P10" s="147"/>
      <c r="Q10" s="147"/>
      <c r="R10" s="147"/>
      <c r="S10" s="147"/>
      <c r="T10" s="147"/>
      <c r="U10" s="147"/>
      <c r="V10" s="147"/>
      <c r="W10" s="147"/>
      <c r="X10" s="106"/>
      <c r="Y10" s="106"/>
      <c r="Z10" s="106"/>
      <c r="AA10" s="106"/>
      <c r="AB10" s="106"/>
      <c r="AC10" s="106"/>
      <c r="AD10" s="106"/>
      <c r="AE10" s="106"/>
      <c r="AF10" s="106"/>
      <c r="AG10" s="106"/>
      <c r="AH10" s="106"/>
      <c r="AI10" s="106"/>
    </row>
    <row r="11" spans="1:35" ht="20" customHeight="1">
      <c r="A11" s="106"/>
      <c r="B11" s="147"/>
      <c r="C11" s="147"/>
      <c r="D11" s="147"/>
      <c r="E11" s="147"/>
      <c r="F11" s="147"/>
      <c r="G11" s="147"/>
      <c r="H11" s="147"/>
      <c r="I11" s="147"/>
      <c r="J11" s="147"/>
      <c r="K11" s="147"/>
      <c r="L11" s="147"/>
      <c r="M11" s="147"/>
      <c r="N11" s="147"/>
      <c r="O11" s="147"/>
      <c r="P11" s="147"/>
      <c r="Q11" s="147"/>
      <c r="R11" s="147"/>
      <c r="S11" s="147"/>
      <c r="T11" s="147"/>
      <c r="U11" s="147"/>
      <c r="V11" s="147"/>
      <c r="W11" s="147"/>
      <c r="X11" s="106"/>
      <c r="Y11" s="106"/>
      <c r="Z11" s="106"/>
      <c r="AA11" s="106"/>
      <c r="AB11" s="106"/>
      <c r="AC11" s="106"/>
      <c r="AD11" s="106"/>
      <c r="AE11" s="106"/>
      <c r="AF11" s="106"/>
      <c r="AG11" s="106"/>
      <c r="AH11" s="106"/>
      <c r="AI11" s="106"/>
    </row>
    <row r="12" spans="1:35" ht="20" customHeight="1">
      <c r="A12" s="106"/>
      <c r="B12" s="150"/>
      <c r="C12" s="620" t="s">
        <v>322</v>
      </c>
      <c r="D12" s="620"/>
      <c r="E12" s="620"/>
      <c r="F12" s="620"/>
      <c r="G12" s="620"/>
      <c r="H12" s="620"/>
      <c r="I12" s="620"/>
      <c r="J12" s="620"/>
      <c r="K12" s="620"/>
      <c r="L12" s="620"/>
      <c r="M12" s="620"/>
      <c r="N12" s="620"/>
      <c r="O12" s="620"/>
      <c r="P12" s="620"/>
      <c r="Q12" s="620"/>
      <c r="R12" s="620"/>
      <c r="S12" s="620"/>
      <c r="T12" s="620"/>
      <c r="U12" s="620"/>
      <c r="V12" s="620"/>
      <c r="W12" s="147"/>
      <c r="X12" s="106"/>
      <c r="Y12" s="106"/>
      <c r="Z12" s="106"/>
      <c r="AA12" s="106"/>
      <c r="AB12" s="106"/>
      <c r="AC12" s="106"/>
      <c r="AD12" s="106"/>
      <c r="AE12" s="106"/>
      <c r="AF12" s="106"/>
      <c r="AG12" s="106"/>
      <c r="AH12" s="106"/>
      <c r="AI12" s="106"/>
    </row>
    <row r="13" spans="1:35" ht="20" customHeight="1">
      <c r="A13" s="106"/>
      <c r="B13" s="150"/>
      <c r="C13" s="620"/>
      <c r="D13" s="620"/>
      <c r="E13" s="620"/>
      <c r="F13" s="620"/>
      <c r="G13" s="620"/>
      <c r="H13" s="620"/>
      <c r="I13" s="620"/>
      <c r="J13" s="620"/>
      <c r="K13" s="620"/>
      <c r="L13" s="620"/>
      <c r="M13" s="620"/>
      <c r="N13" s="620"/>
      <c r="O13" s="620"/>
      <c r="P13" s="620"/>
      <c r="Q13" s="620"/>
      <c r="R13" s="620"/>
      <c r="S13" s="620"/>
      <c r="T13" s="620"/>
      <c r="U13" s="620"/>
      <c r="V13" s="620"/>
      <c r="W13" s="147"/>
      <c r="X13" s="106"/>
      <c r="Y13" s="106"/>
      <c r="Z13" s="106"/>
      <c r="AA13" s="106"/>
      <c r="AB13" s="106"/>
      <c r="AC13" s="106"/>
      <c r="AD13" s="106"/>
      <c r="AE13" s="106"/>
      <c r="AF13" s="106"/>
      <c r="AG13" s="106"/>
      <c r="AH13" s="106"/>
      <c r="AI13" s="106"/>
    </row>
    <row r="14" spans="1:35" ht="20" customHeight="1">
      <c r="A14" s="106"/>
      <c r="B14" s="150"/>
      <c r="C14" s="620"/>
      <c r="D14" s="620"/>
      <c r="E14" s="620"/>
      <c r="F14" s="620"/>
      <c r="G14" s="620"/>
      <c r="H14" s="620"/>
      <c r="I14" s="620"/>
      <c r="J14" s="620"/>
      <c r="K14" s="620"/>
      <c r="L14" s="620"/>
      <c r="M14" s="620"/>
      <c r="N14" s="620"/>
      <c r="O14" s="620"/>
      <c r="P14" s="620"/>
      <c r="Q14" s="620"/>
      <c r="R14" s="620"/>
      <c r="S14" s="620"/>
      <c r="T14" s="620"/>
      <c r="U14" s="620"/>
      <c r="V14" s="620"/>
      <c r="W14" s="147"/>
      <c r="X14" s="106"/>
      <c r="Y14" s="106"/>
      <c r="Z14" s="106"/>
      <c r="AA14" s="106"/>
      <c r="AB14" s="106"/>
      <c r="AC14" s="106"/>
      <c r="AD14" s="106"/>
      <c r="AE14" s="106"/>
      <c r="AF14" s="106"/>
      <c r="AG14" s="106"/>
      <c r="AH14" s="106"/>
      <c r="AI14" s="106"/>
    </row>
    <row r="15" spans="1:35" ht="20" customHeight="1">
      <c r="A15" s="106"/>
      <c r="B15" s="147"/>
      <c r="C15" s="147"/>
      <c r="D15" s="147"/>
      <c r="E15" s="147"/>
      <c r="F15" s="147"/>
      <c r="G15" s="147"/>
      <c r="H15" s="147"/>
      <c r="I15" s="147"/>
      <c r="J15" s="147"/>
      <c r="K15" s="147"/>
      <c r="L15" s="147"/>
      <c r="M15" s="147"/>
      <c r="N15" s="147"/>
      <c r="O15" s="147"/>
      <c r="P15" s="147"/>
      <c r="Q15" s="147"/>
      <c r="R15" s="147"/>
      <c r="S15" s="147"/>
      <c r="T15" s="147"/>
      <c r="U15" s="147"/>
      <c r="V15" s="147"/>
      <c r="W15" s="147"/>
      <c r="X15" s="106"/>
      <c r="Y15" s="106"/>
      <c r="Z15" s="106"/>
      <c r="AA15" s="106"/>
      <c r="AB15" s="106"/>
      <c r="AC15" s="106"/>
      <c r="AD15" s="106"/>
      <c r="AE15" s="106"/>
      <c r="AF15" s="106"/>
      <c r="AG15" s="106"/>
      <c r="AH15" s="106"/>
      <c r="AI15" s="106"/>
    </row>
    <row r="16" spans="1:35" ht="20" customHeight="1">
      <c r="A16" s="106"/>
      <c r="W16" s="160"/>
      <c r="X16" s="106"/>
      <c r="Y16" s="106"/>
      <c r="Z16" s="106"/>
      <c r="AA16" s="106"/>
      <c r="AB16" s="106"/>
      <c r="AC16" s="106"/>
      <c r="AD16" s="106"/>
      <c r="AE16" s="106"/>
      <c r="AF16" s="106"/>
      <c r="AG16" s="106"/>
      <c r="AH16" s="106"/>
      <c r="AI16" s="106"/>
    </row>
    <row r="17" spans="1:35" ht="20" customHeight="1">
      <c r="A17" s="106"/>
      <c r="C17" s="8"/>
      <c r="W17" s="160"/>
      <c r="X17" s="106"/>
      <c r="Y17" s="106"/>
      <c r="Z17" s="106"/>
      <c r="AA17" s="106"/>
      <c r="AB17" s="106"/>
      <c r="AC17" s="106"/>
      <c r="AD17" s="106"/>
      <c r="AE17" s="106"/>
      <c r="AF17" s="106"/>
      <c r="AG17" s="106"/>
      <c r="AH17" s="106"/>
      <c r="AI17" s="106"/>
    </row>
    <row r="18" spans="1:35" ht="20" customHeight="1">
      <c r="A18" s="106"/>
      <c r="W18" s="160"/>
      <c r="X18" s="106"/>
      <c r="Y18" s="106"/>
      <c r="Z18" s="106"/>
      <c r="AA18" s="106"/>
      <c r="AB18" s="106"/>
      <c r="AC18" s="106"/>
      <c r="AD18" s="106"/>
      <c r="AE18" s="106"/>
      <c r="AF18" s="106"/>
      <c r="AG18" s="106"/>
      <c r="AH18" s="106"/>
      <c r="AI18" s="106"/>
    </row>
    <row r="19" spans="1:35" ht="20" customHeight="1">
      <c r="A19" s="106"/>
      <c r="W19" s="160"/>
      <c r="X19" s="106"/>
      <c r="Y19" s="106"/>
      <c r="Z19" s="106"/>
      <c r="AA19" s="106"/>
      <c r="AB19" s="106"/>
      <c r="AC19" s="106"/>
      <c r="AD19" s="106"/>
      <c r="AE19" s="106"/>
      <c r="AF19" s="106"/>
      <c r="AG19" s="106"/>
      <c r="AH19" s="106"/>
      <c r="AI19" s="106"/>
    </row>
    <row r="20" spans="1:35" ht="20" customHeight="1">
      <c r="A20" s="106"/>
      <c r="W20" s="160"/>
      <c r="X20" s="106"/>
      <c r="Y20" s="106"/>
      <c r="Z20" s="106"/>
      <c r="AA20" s="106"/>
      <c r="AB20" s="106"/>
      <c r="AC20" s="106"/>
      <c r="AD20" s="106"/>
      <c r="AE20" s="106"/>
      <c r="AF20" s="106"/>
      <c r="AG20" s="106"/>
      <c r="AH20" s="106"/>
      <c r="AI20" s="106"/>
    </row>
    <row r="21" spans="1:35" ht="20" customHeight="1">
      <c r="A21" s="106"/>
      <c r="W21" s="160"/>
      <c r="X21" s="106"/>
      <c r="Y21" s="106"/>
      <c r="Z21" s="106"/>
      <c r="AA21" s="106"/>
      <c r="AB21" s="106"/>
      <c r="AC21" s="106"/>
      <c r="AD21" s="106"/>
      <c r="AE21" s="106"/>
      <c r="AF21" s="106"/>
      <c r="AG21" s="106"/>
      <c r="AH21" s="106"/>
      <c r="AI21" s="106"/>
    </row>
    <row r="22" spans="1:35" ht="20" customHeight="1">
      <c r="A22" s="106"/>
      <c r="W22" s="160"/>
      <c r="X22" s="106"/>
      <c r="Y22" s="106"/>
      <c r="Z22" s="106"/>
      <c r="AA22" s="106"/>
      <c r="AB22" s="106"/>
      <c r="AC22" s="106"/>
      <c r="AD22" s="106"/>
      <c r="AE22" s="106"/>
      <c r="AF22" s="106"/>
      <c r="AG22" s="106"/>
      <c r="AH22" s="106"/>
      <c r="AI22" s="106"/>
    </row>
    <row r="23" spans="1:35" ht="20" customHeight="1">
      <c r="A23" s="106"/>
      <c r="W23" s="160"/>
      <c r="X23" s="106"/>
      <c r="Y23" s="106"/>
      <c r="Z23" s="106"/>
      <c r="AA23" s="106"/>
      <c r="AB23" s="106"/>
      <c r="AC23" s="106"/>
      <c r="AD23" s="106"/>
      <c r="AE23" s="106"/>
      <c r="AF23" s="106"/>
      <c r="AG23" s="106"/>
      <c r="AH23" s="106"/>
      <c r="AI23" s="106"/>
    </row>
    <row r="24" spans="1:35" ht="20" customHeight="1">
      <c r="A24" s="106"/>
      <c r="W24" s="160"/>
      <c r="X24" s="106"/>
      <c r="Y24" s="106"/>
      <c r="Z24" s="106"/>
      <c r="AA24" s="106"/>
      <c r="AB24" s="106"/>
      <c r="AC24" s="106"/>
      <c r="AD24" s="106"/>
      <c r="AE24" s="106"/>
      <c r="AF24" s="106"/>
      <c r="AG24" s="106"/>
      <c r="AH24" s="106"/>
      <c r="AI24" s="106"/>
    </row>
    <row r="25" spans="1:35" ht="20" customHeight="1">
      <c r="A25" s="106"/>
      <c r="W25" s="160"/>
      <c r="X25" s="106"/>
      <c r="Y25" s="106"/>
      <c r="Z25" s="106"/>
      <c r="AA25" s="106"/>
      <c r="AB25" s="106"/>
      <c r="AC25" s="106"/>
      <c r="AD25" s="106"/>
      <c r="AE25" s="106"/>
      <c r="AF25" s="106"/>
      <c r="AG25" s="106"/>
      <c r="AH25" s="106"/>
      <c r="AI25" s="106"/>
    </row>
    <row r="26" spans="1:35" ht="20" customHeight="1">
      <c r="A26" s="106"/>
      <c r="W26" s="160"/>
      <c r="X26" s="106"/>
      <c r="Y26" s="106"/>
      <c r="Z26" s="106"/>
      <c r="AA26" s="106"/>
      <c r="AB26" s="106"/>
      <c r="AC26" s="106"/>
      <c r="AD26" s="106"/>
      <c r="AE26" s="106"/>
      <c r="AF26" s="106"/>
      <c r="AG26" s="106"/>
      <c r="AH26" s="106"/>
      <c r="AI26" s="106"/>
    </row>
    <row r="27" spans="1:35" ht="20" customHeight="1">
      <c r="A27" s="106"/>
      <c r="W27" s="160"/>
      <c r="X27" s="106"/>
      <c r="Y27" s="106"/>
      <c r="Z27" s="106"/>
      <c r="AA27" s="106"/>
      <c r="AB27" s="106"/>
      <c r="AC27" s="106"/>
      <c r="AD27" s="106"/>
      <c r="AE27" s="106"/>
      <c r="AF27" s="106"/>
      <c r="AG27" s="106"/>
      <c r="AH27" s="106"/>
      <c r="AI27" s="106"/>
    </row>
    <row r="28" spans="1:35" ht="20" customHeight="1">
      <c r="A28" s="106"/>
      <c r="W28" s="160"/>
      <c r="X28" s="106"/>
      <c r="Y28" s="106"/>
      <c r="Z28" s="106"/>
      <c r="AA28" s="106"/>
      <c r="AB28" s="106"/>
      <c r="AC28" s="106"/>
      <c r="AD28" s="106"/>
      <c r="AE28" s="106"/>
      <c r="AF28" s="106"/>
      <c r="AG28" s="106"/>
      <c r="AH28" s="106"/>
      <c r="AI28" s="106"/>
    </row>
    <row r="29" spans="1:35" ht="20" customHeight="1">
      <c r="A29" s="106"/>
      <c r="W29" s="160"/>
      <c r="X29" s="106"/>
      <c r="Y29" s="106"/>
      <c r="Z29" s="106"/>
      <c r="AA29" s="106"/>
      <c r="AB29" s="106"/>
      <c r="AC29" s="106"/>
      <c r="AD29" s="106"/>
      <c r="AE29" s="106"/>
      <c r="AF29" s="106"/>
      <c r="AG29" s="106"/>
      <c r="AH29" s="106"/>
      <c r="AI29" s="106"/>
    </row>
    <row r="30" spans="1:35" ht="20" customHeight="1">
      <c r="A30" s="106"/>
      <c r="W30" s="160"/>
      <c r="X30" s="106"/>
      <c r="Y30" s="106"/>
      <c r="Z30" s="106"/>
      <c r="AA30" s="106"/>
      <c r="AB30" s="106"/>
      <c r="AC30" s="106"/>
      <c r="AD30" s="106"/>
      <c r="AE30" s="106"/>
      <c r="AF30" s="106"/>
      <c r="AG30" s="106"/>
      <c r="AH30" s="106"/>
      <c r="AI30" s="106"/>
    </row>
    <row r="31" spans="1:35" ht="20" customHeight="1">
      <c r="A31" s="106"/>
      <c r="W31" s="160"/>
      <c r="X31" s="106"/>
      <c r="Y31" s="106"/>
      <c r="Z31" s="106"/>
      <c r="AA31" s="106"/>
      <c r="AB31" s="106"/>
      <c r="AC31" s="106"/>
      <c r="AD31" s="106"/>
      <c r="AE31" s="106"/>
      <c r="AF31" s="106"/>
      <c r="AG31" s="106"/>
      <c r="AH31" s="106"/>
      <c r="AI31" s="106"/>
    </row>
    <row r="32" spans="1:35" ht="20" customHeight="1">
      <c r="A32" s="106"/>
      <c r="W32" s="160"/>
      <c r="X32" s="106"/>
      <c r="Y32" s="106"/>
      <c r="Z32" s="106"/>
      <c r="AA32" s="106"/>
      <c r="AB32" s="106"/>
      <c r="AC32" s="106"/>
      <c r="AD32" s="106"/>
      <c r="AE32" s="106"/>
      <c r="AF32" s="106"/>
      <c r="AG32" s="106"/>
      <c r="AH32" s="106"/>
      <c r="AI32" s="106"/>
    </row>
    <row r="33" spans="1:35" ht="20" customHeight="1">
      <c r="A33" s="106"/>
      <c r="W33" s="160"/>
      <c r="X33" s="106"/>
      <c r="Y33" s="106"/>
      <c r="Z33" s="106"/>
      <c r="AA33" s="106"/>
      <c r="AB33" s="106"/>
      <c r="AC33" s="106"/>
      <c r="AD33" s="106"/>
      <c r="AE33" s="106"/>
      <c r="AF33" s="106"/>
      <c r="AG33" s="106"/>
      <c r="AH33" s="106"/>
      <c r="AI33" s="106"/>
    </row>
    <row r="34" spans="1:35" ht="20" customHeight="1">
      <c r="A34" s="106"/>
      <c r="W34" s="160"/>
      <c r="X34" s="106"/>
      <c r="Y34" s="106"/>
      <c r="Z34" s="106"/>
      <c r="AA34" s="106"/>
      <c r="AB34" s="106"/>
      <c r="AC34" s="106"/>
      <c r="AD34" s="106"/>
      <c r="AE34" s="106"/>
      <c r="AF34" s="106"/>
      <c r="AG34" s="106"/>
      <c r="AH34" s="106"/>
      <c r="AI34" s="106"/>
    </row>
    <row r="35" spans="1:35" ht="20" customHeight="1">
      <c r="A35" s="106"/>
      <c r="W35" s="160"/>
      <c r="X35" s="106"/>
      <c r="Y35" s="106"/>
      <c r="Z35" s="106"/>
      <c r="AA35" s="106"/>
      <c r="AB35" s="106"/>
      <c r="AC35" s="106"/>
      <c r="AD35" s="106"/>
      <c r="AE35" s="106"/>
      <c r="AF35" s="106"/>
      <c r="AG35" s="106"/>
      <c r="AH35" s="106"/>
      <c r="AI35" s="106"/>
    </row>
    <row r="36" spans="1:35" ht="20" customHeight="1">
      <c r="A36" s="106"/>
      <c r="B36" s="114"/>
      <c r="C36" s="114"/>
      <c r="D36" s="114"/>
      <c r="E36" s="114"/>
      <c r="F36" s="114"/>
      <c r="G36" s="114"/>
      <c r="H36" s="114"/>
      <c r="I36" s="114"/>
      <c r="J36" s="114"/>
      <c r="K36" s="114"/>
      <c r="L36" s="114"/>
      <c r="M36" s="114"/>
      <c r="N36" s="114"/>
      <c r="O36" s="114"/>
      <c r="P36" s="114"/>
      <c r="Q36" s="114"/>
      <c r="R36" s="114"/>
      <c r="W36" s="160"/>
      <c r="X36" s="106"/>
      <c r="Y36" s="106"/>
      <c r="Z36" s="106"/>
      <c r="AA36" s="106"/>
      <c r="AB36" s="106"/>
      <c r="AC36" s="106"/>
      <c r="AD36" s="106"/>
      <c r="AE36" s="106"/>
      <c r="AF36" s="106"/>
      <c r="AG36" s="106"/>
      <c r="AH36" s="106"/>
      <c r="AI36" s="106"/>
    </row>
    <row r="37" spans="1:35" ht="20" customHeight="1">
      <c r="A37" s="106"/>
      <c r="B37" s="147"/>
      <c r="C37" s="147"/>
      <c r="D37" s="147"/>
      <c r="E37" s="147"/>
      <c r="F37" s="147"/>
      <c r="G37" s="147"/>
      <c r="H37" s="147"/>
      <c r="I37" s="147"/>
      <c r="J37" s="147"/>
      <c r="K37" s="147"/>
      <c r="L37" s="147"/>
      <c r="M37" s="147"/>
      <c r="N37" s="147"/>
      <c r="O37" s="147"/>
      <c r="P37" s="147"/>
      <c r="Q37" s="147"/>
      <c r="R37" s="147"/>
      <c r="S37" s="147"/>
      <c r="T37" s="147"/>
      <c r="U37" s="147"/>
      <c r="V37" s="147"/>
      <c r="W37" s="147"/>
      <c r="X37" s="106"/>
      <c r="Y37" s="106"/>
      <c r="Z37" s="106"/>
      <c r="AA37" s="106"/>
      <c r="AB37" s="106"/>
      <c r="AC37" s="106"/>
      <c r="AD37" s="106"/>
      <c r="AE37" s="106"/>
      <c r="AF37" s="106"/>
      <c r="AG37" s="106"/>
      <c r="AH37" s="106"/>
      <c r="AI37" s="106"/>
    </row>
    <row r="38" spans="1:35" ht="20" customHeight="1">
      <c r="A38" s="165"/>
      <c r="W38" s="160"/>
      <c r="X38" s="106"/>
      <c r="Y38" s="106"/>
      <c r="Z38" s="106"/>
      <c r="AA38" s="106"/>
      <c r="AB38" s="106"/>
      <c r="AC38" s="106"/>
      <c r="AD38" s="106"/>
      <c r="AE38" s="106"/>
      <c r="AF38" s="106"/>
      <c r="AG38" s="106"/>
      <c r="AH38" s="106"/>
      <c r="AI38" s="106"/>
    </row>
    <row r="39" spans="1:35" ht="20" customHeight="1">
      <c r="A39" s="165"/>
      <c r="B39" s="619" t="str">
        <f>Lan!F120</f>
        <v>PLAN ESTRATÉGICO</v>
      </c>
      <c r="C39" s="619"/>
      <c r="D39" s="619"/>
      <c r="E39" s="619"/>
      <c r="F39" s="619"/>
      <c r="G39" s="619"/>
      <c r="H39" s="619"/>
      <c r="I39" s="619"/>
      <c r="J39" s="619"/>
      <c r="K39" s="619"/>
      <c r="L39" s="619"/>
      <c r="M39" s="619"/>
      <c r="N39" s="619"/>
      <c r="O39" s="619"/>
      <c r="P39" s="619"/>
      <c r="Q39" s="152"/>
      <c r="W39" s="160"/>
      <c r="X39" s="106"/>
      <c r="Y39" s="106"/>
      <c r="Z39" s="106"/>
      <c r="AA39" s="106"/>
      <c r="AB39" s="106"/>
      <c r="AC39" s="106"/>
      <c r="AD39" s="106"/>
      <c r="AE39" s="106"/>
      <c r="AF39" s="106"/>
      <c r="AG39" s="106"/>
      <c r="AH39" s="106"/>
      <c r="AI39" s="106"/>
    </row>
    <row r="40" spans="1:35" ht="20" customHeight="1">
      <c r="A40" s="165"/>
      <c r="B40" s="619"/>
      <c r="C40" s="619"/>
      <c r="D40" s="619"/>
      <c r="E40" s="619"/>
      <c r="F40" s="619"/>
      <c r="G40" s="619"/>
      <c r="H40" s="619"/>
      <c r="I40" s="619"/>
      <c r="J40" s="619"/>
      <c r="K40" s="619"/>
      <c r="L40" s="619"/>
      <c r="M40" s="619"/>
      <c r="N40" s="619"/>
      <c r="O40" s="619"/>
      <c r="P40" s="619"/>
      <c r="Q40" s="152"/>
      <c r="W40" s="160"/>
      <c r="X40" s="106"/>
      <c r="Y40" s="106"/>
      <c r="Z40" s="106"/>
      <c r="AA40" s="106"/>
      <c r="AB40" s="106"/>
      <c r="AC40" s="106"/>
      <c r="AD40" s="106"/>
      <c r="AE40" s="106"/>
      <c r="AF40" s="106"/>
      <c r="AG40" s="106"/>
      <c r="AH40" s="106"/>
      <c r="AI40" s="106"/>
    </row>
    <row r="41" spans="1:35" ht="20" customHeight="1">
      <c r="A41" s="165"/>
      <c r="W41" s="160"/>
      <c r="X41" s="106"/>
      <c r="Y41" s="106"/>
      <c r="Z41" s="106"/>
      <c r="AA41" s="106"/>
      <c r="AB41" s="106"/>
      <c r="AC41" s="106"/>
      <c r="AD41" s="106"/>
      <c r="AE41" s="106"/>
      <c r="AF41" s="106"/>
      <c r="AG41" s="106"/>
      <c r="AH41" s="106"/>
      <c r="AI41" s="106"/>
    </row>
    <row r="42" spans="1:35" ht="20" customHeight="1">
      <c r="A42" s="165"/>
      <c r="W42" s="160"/>
      <c r="X42" s="106"/>
      <c r="Y42" s="106"/>
      <c r="Z42" s="106"/>
      <c r="AA42" s="106"/>
      <c r="AB42" s="106"/>
      <c r="AC42" s="106"/>
      <c r="AD42" s="106"/>
      <c r="AE42" s="106"/>
      <c r="AF42" s="106"/>
      <c r="AG42" s="106"/>
      <c r="AH42" s="106"/>
      <c r="AI42" s="106"/>
    </row>
    <row r="43" spans="1:35" ht="20" customHeight="1">
      <c r="A43" s="165"/>
      <c r="C43" s="622" t="str">
        <f>IF(Statement!B12="","",Statement!B12)</f>
        <v>Para el año 2035, Caracolitos, S.A. de C.V. será reconocida a nivel nacional como la marca líder en productos artesanales derivados de la fresa y artículos turísticos representativos de Irapuato, contando con 10 sucursales en las principales ciudades del país, presencia en plataformas de e-commerce, certificaciones de calidad e inocuidad alimentaria, y una cultura organizacional basada en la innovación, la sostenibilidad y el orgullo local.</v>
      </c>
      <c r="D43" s="622"/>
      <c r="E43" s="622"/>
      <c r="F43" s="622"/>
      <c r="G43" s="622"/>
      <c r="H43" s="622"/>
      <c r="I43" s="622"/>
      <c r="J43" s="622"/>
      <c r="K43" s="622"/>
      <c r="L43" s="622"/>
      <c r="M43" s="622"/>
      <c r="N43" s="622"/>
      <c r="O43" s="622"/>
      <c r="P43" s="622"/>
      <c r="Q43" s="622"/>
      <c r="R43" s="622"/>
      <c r="S43" s="622"/>
      <c r="T43" s="622"/>
      <c r="U43" s="622"/>
      <c r="V43" s="622"/>
      <c r="W43" s="622"/>
      <c r="X43" s="106"/>
      <c r="Y43" s="106"/>
      <c r="Z43" s="106"/>
      <c r="AA43" s="106"/>
      <c r="AB43" s="106"/>
      <c r="AC43" s="106"/>
      <c r="AD43" s="106"/>
      <c r="AE43" s="106"/>
      <c r="AF43" s="106"/>
      <c r="AG43" s="106"/>
      <c r="AH43" s="106"/>
      <c r="AI43" s="106"/>
    </row>
    <row r="44" spans="1:35" ht="20" customHeight="1">
      <c r="A44" s="165"/>
      <c r="B44" s="153"/>
      <c r="C44" s="622"/>
      <c r="D44" s="622"/>
      <c r="E44" s="622"/>
      <c r="F44" s="622"/>
      <c r="G44" s="622"/>
      <c r="H44" s="622"/>
      <c r="I44" s="622"/>
      <c r="J44" s="622"/>
      <c r="K44" s="622"/>
      <c r="L44" s="622"/>
      <c r="M44" s="622"/>
      <c r="N44" s="622"/>
      <c r="O44" s="622"/>
      <c r="P44" s="622"/>
      <c r="Q44" s="622"/>
      <c r="R44" s="622"/>
      <c r="S44" s="622"/>
      <c r="T44" s="622"/>
      <c r="U44" s="622"/>
      <c r="V44" s="622"/>
      <c r="W44" s="622"/>
      <c r="X44" s="106"/>
      <c r="Y44" s="106"/>
      <c r="Z44" s="106"/>
      <c r="AA44" s="106"/>
      <c r="AB44" s="106"/>
      <c r="AC44" s="106"/>
      <c r="AD44" s="106"/>
      <c r="AE44" s="106"/>
      <c r="AF44" s="106"/>
      <c r="AG44" s="106"/>
      <c r="AH44" s="106"/>
      <c r="AI44" s="106"/>
    </row>
    <row r="45" spans="1:35" ht="20" customHeight="1">
      <c r="A45" s="165"/>
      <c r="W45" s="160"/>
      <c r="X45" s="106"/>
      <c r="Y45" s="106"/>
      <c r="Z45" s="106"/>
      <c r="AA45" s="106"/>
      <c r="AB45" s="106"/>
      <c r="AC45" s="106"/>
      <c r="AD45" s="106"/>
      <c r="AE45" s="106"/>
      <c r="AF45" s="106"/>
      <c r="AG45" s="106"/>
      <c r="AH45" s="106"/>
      <c r="AI45" s="106"/>
    </row>
    <row r="46" spans="1:35" ht="20" customHeight="1">
      <c r="A46" s="165"/>
      <c r="C46" s="622" t="str">
        <f>IF(Statement!B18="","",Statement!B18)</f>
        <v>Somos una empresa orgullosamente irapuatense dedicada a la elaboración de fresa cristalizada y productos artesanales derivados de la fresa, así como artículos turísticos representativos de nuestra ciudad. Nos comprometemos a ofrecer experiencias únicas a nuestros clientes, promoviendo la calidad, el sabor local y la identidad cultural, mediante procesos responsables, talento humano comprometido e innovación constante.</v>
      </c>
      <c r="D46" s="622"/>
      <c r="E46" s="622"/>
      <c r="F46" s="622"/>
      <c r="G46" s="622"/>
      <c r="H46" s="622"/>
      <c r="I46" s="622"/>
      <c r="J46" s="622"/>
      <c r="K46" s="622"/>
      <c r="L46" s="622"/>
      <c r="M46" s="622"/>
      <c r="N46" s="622"/>
      <c r="O46" s="622"/>
      <c r="P46" s="622"/>
      <c r="Q46" s="622"/>
      <c r="R46" s="622"/>
      <c r="S46" s="622"/>
      <c r="T46" s="622"/>
      <c r="U46" s="622"/>
      <c r="V46" s="622"/>
      <c r="W46" s="622"/>
      <c r="X46" s="106"/>
      <c r="Y46" s="106"/>
      <c r="Z46" s="106"/>
      <c r="AA46" s="106"/>
      <c r="AB46" s="106"/>
      <c r="AC46" s="106"/>
      <c r="AD46" s="106"/>
      <c r="AE46" s="106"/>
      <c r="AF46" s="106"/>
      <c r="AG46" s="106"/>
      <c r="AH46" s="106"/>
      <c r="AI46" s="106"/>
    </row>
    <row r="47" spans="1:35" ht="20" customHeight="1">
      <c r="A47" s="165"/>
      <c r="B47" s="153"/>
      <c r="C47" s="622"/>
      <c r="D47" s="622"/>
      <c r="E47" s="622"/>
      <c r="F47" s="622"/>
      <c r="G47" s="622"/>
      <c r="H47" s="622"/>
      <c r="I47" s="622"/>
      <c r="J47" s="622"/>
      <c r="K47" s="622"/>
      <c r="L47" s="622"/>
      <c r="M47" s="622"/>
      <c r="N47" s="622"/>
      <c r="O47" s="622"/>
      <c r="P47" s="622"/>
      <c r="Q47" s="622"/>
      <c r="R47" s="622"/>
      <c r="S47" s="622"/>
      <c r="T47" s="622"/>
      <c r="U47" s="622"/>
      <c r="V47" s="622"/>
      <c r="W47" s="622"/>
      <c r="X47" s="106"/>
      <c r="Y47" s="106"/>
      <c r="Z47" s="106"/>
      <c r="AA47" s="106"/>
      <c r="AB47" s="106"/>
      <c r="AC47" s="106"/>
      <c r="AD47" s="106"/>
      <c r="AE47" s="106"/>
      <c r="AF47" s="106"/>
      <c r="AG47" s="106"/>
      <c r="AH47" s="106"/>
      <c r="AI47" s="106"/>
    </row>
    <row r="48" spans="1:35" ht="20" customHeight="1">
      <c r="A48" s="165"/>
      <c r="W48" s="160"/>
      <c r="X48" s="106"/>
      <c r="Y48" s="106"/>
      <c r="Z48" s="106"/>
      <c r="AA48" s="106"/>
      <c r="AB48" s="106"/>
      <c r="AC48" s="106"/>
      <c r="AD48" s="106"/>
      <c r="AE48" s="106"/>
      <c r="AF48" s="106"/>
      <c r="AG48" s="106"/>
      <c r="AH48" s="106"/>
      <c r="AI48" s="106"/>
    </row>
    <row r="49" spans="1:35" ht="20" customHeight="1">
      <c r="A49" s="165"/>
      <c r="W49" s="160"/>
      <c r="X49" s="106"/>
      <c r="Y49" s="106"/>
      <c r="Z49" s="106"/>
      <c r="AA49" s="106"/>
      <c r="AB49" s="106"/>
      <c r="AC49" s="106"/>
      <c r="AD49" s="106"/>
      <c r="AE49" s="106"/>
      <c r="AF49" s="106"/>
      <c r="AG49" s="106"/>
      <c r="AH49" s="106"/>
      <c r="AI49" s="106"/>
    </row>
    <row r="50" spans="1:35" ht="20" customHeight="1">
      <c r="A50" s="165"/>
      <c r="C50" s="623" t="str">
        <f>IF(Statement!B24="","",Statement!B24)</f>
        <v>1. Orden y limpieza
Conducta observable:
Cada colaborador mantiene su área de trabajo limpia, organizada y libre de desorden al iniciar, durante y al finalizar su jornada, respetando los protocolos de higiene establecidos.
2. Transparencia
Conducta observable:
El personal comunica de manera clara, honesta y sin ocultar información relevante, ya sea con clientes, compañeros o supervisores, reportando errores o situaciones anómalas de inmediato.
3. Responsabilidad
Conducta observable:
Cada persona cumple puntualmente con sus funciones, entrega resultados en tiempo y forma, y asume las consecuencias de sus decisiones sin evadir compromisos.
4. Respeto
Conducta observable:
Se escucha a los demás con atención, se evita el uso de lenguaje ofensivo, se reconocen los puntos de vista distintos y se mantiene un trato cortés con todos, sin importar jerarquía o área.
5. Calidad en el servicio
Conducta observable:
El personal brinda atención amable, resuelve dudas con disposición, cuida la presentación del producto y busca siempre superar las expectativas del cliente, actuando con empatía y cortesía.</v>
      </c>
      <c r="D50" s="623"/>
      <c r="E50" s="623"/>
      <c r="F50" s="623"/>
      <c r="G50" s="623"/>
      <c r="H50" s="623"/>
      <c r="I50" s="623"/>
      <c r="J50" s="623"/>
      <c r="K50" s="623"/>
      <c r="L50" s="623"/>
      <c r="M50" s="623"/>
      <c r="N50" s="623"/>
      <c r="O50" s="623"/>
      <c r="P50" s="623"/>
      <c r="Q50" s="623"/>
      <c r="R50" s="623"/>
      <c r="S50" s="623"/>
      <c r="T50" s="623"/>
      <c r="U50" s="623"/>
      <c r="V50" s="623"/>
      <c r="W50" s="160"/>
      <c r="X50" s="106"/>
      <c r="Y50" s="106"/>
      <c r="Z50" s="106"/>
      <c r="AA50" s="106"/>
      <c r="AB50" s="106"/>
      <c r="AC50" s="106"/>
      <c r="AD50" s="106"/>
      <c r="AE50" s="106"/>
      <c r="AF50" s="106"/>
      <c r="AG50" s="106"/>
      <c r="AH50" s="106"/>
      <c r="AI50" s="106"/>
    </row>
    <row r="51" spans="1:35" ht="20" customHeight="1">
      <c r="A51" s="165"/>
      <c r="C51" s="623"/>
      <c r="D51" s="623"/>
      <c r="E51" s="623"/>
      <c r="F51" s="623"/>
      <c r="G51" s="623"/>
      <c r="H51" s="623"/>
      <c r="I51" s="623"/>
      <c r="J51" s="623"/>
      <c r="K51" s="623"/>
      <c r="L51" s="623"/>
      <c r="M51" s="623"/>
      <c r="N51" s="623"/>
      <c r="O51" s="623"/>
      <c r="P51" s="623"/>
      <c r="Q51" s="623"/>
      <c r="R51" s="623"/>
      <c r="S51" s="623"/>
      <c r="T51" s="623"/>
      <c r="U51" s="623"/>
      <c r="V51" s="623"/>
      <c r="W51" s="160"/>
      <c r="X51" s="106"/>
      <c r="Y51" s="106"/>
      <c r="Z51" s="106"/>
      <c r="AA51" s="106"/>
      <c r="AB51" s="106"/>
      <c r="AC51" s="106"/>
      <c r="AD51" s="106"/>
      <c r="AE51" s="106"/>
      <c r="AF51" s="106"/>
      <c r="AG51" s="106"/>
      <c r="AH51" s="106"/>
      <c r="AI51" s="106"/>
    </row>
    <row r="52" spans="1:35" ht="20" customHeight="1">
      <c r="A52" s="165"/>
      <c r="C52" s="623"/>
      <c r="D52" s="623"/>
      <c r="E52" s="623"/>
      <c r="F52" s="623"/>
      <c r="G52" s="623"/>
      <c r="H52" s="623"/>
      <c r="I52" s="623"/>
      <c r="J52" s="623"/>
      <c r="K52" s="623"/>
      <c r="L52" s="623"/>
      <c r="M52" s="623"/>
      <c r="N52" s="623"/>
      <c r="O52" s="623"/>
      <c r="P52" s="623"/>
      <c r="Q52" s="623"/>
      <c r="R52" s="623"/>
      <c r="S52" s="623"/>
      <c r="T52" s="623"/>
      <c r="U52" s="623"/>
      <c r="V52" s="623"/>
      <c r="W52" s="160"/>
      <c r="X52" s="106"/>
      <c r="Y52" s="106"/>
      <c r="Z52" s="106"/>
      <c r="AA52" s="106"/>
      <c r="AB52" s="106"/>
      <c r="AC52" s="106"/>
      <c r="AD52" s="106"/>
      <c r="AE52" s="106"/>
      <c r="AF52" s="106"/>
      <c r="AG52" s="106"/>
      <c r="AH52" s="106"/>
      <c r="AI52" s="106"/>
    </row>
    <row r="53" spans="1:35" ht="20" customHeight="1">
      <c r="A53" s="165"/>
      <c r="C53" s="623"/>
      <c r="D53" s="623"/>
      <c r="E53" s="623"/>
      <c r="F53" s="623"/>
      <c r="G53" s="623"/>
      <c r="H53" s="623"/>
      <c r="I53" s="623"/>
      <c r="J53" s="623"/>
      <c r="K53" s="623"/>
      <c r="L53" s="623"/>
      <c r="M53" s="623"/>
      <c r="N53" s="623"/>
      <c r="O53" s="623"/>
      <c r="P53" s="623"/>
      <c r="Q53" s="623"/>
      <c r="R53" s="623"/>
      <c r="S53" s="623"/>
      <c r="T53" s="623"/>
      <c r="U53" s="623"/>
      <c r="V53" s="623"/>
      <c r="W53" s="160"/>
      <c r="X53" s="106"/>
      <c r="Y53" s="106"/>
      <c r="Z53" s="106"/>
      <c r="AA53" s="106"/>
      <c r="AB53" s="106"/>
      <c r="AC53" s="106"/>
      <c r="AD53" s="106"/>
      <c r="AE53" s="106"/>
      <c r="AF53" s="106"/>
      <c r="AG53" s="106"/>
      <c r="AH53" s="106"/>
      <c r="AI53" s="106"/>
    </row>
    <row r="54" spans="1:35" ht="20" customHeight="1">
      <c r="A54" s="165"/>
      <c r="C54" s="247"/>
      <c r="D54" s="247"/>
      <c r="E54" s="247"/>
      <c r="F54" s="247"/>
      <c r="G54" s="247"/>
      <c r="H54" s="247"/>
      <c r="I54" s="247"/>
      <c r="J54" s="247"/>
      <c r="K54" s="247"/>
      <c r="L54" s="247"/>
      <c r="M54" s="247"/>
      <c r="N54" s="247"/>
      <c r="O54" s="247"/>
      <c r="P54" s="247"/>
      <c r="Q54" s="247"/>
      <c r="W54" s="160"/>
      <c r="X54" s="106"/>
      <c r="Y54" s="106"/>
      <c r="Z54" s="106"/>
      <c r="AA54" s="106"/>
      <c r="AB54" s="106"/>
      <c r="AC54" s="106"/>
      <c r="AD54" s="106"/>
      <c r="AE54" s="106"/>
      <c r="AF54" s="106"/>
      <c r="AG54" s="106"/>
      <c r="AH54" s="106"/>
      <c r="AI54" s="106"/>
    </row>
    <row r="55" spans="1:35" ht="20" customHeight="1">
      <c r="A55" s="165"/>
      <c r="C55" s="247"/>
      <c r="D55" s="247"/>
      <c r="E55" s="247"/>
      <c r="F55" s="247"/>
      <c r="G55" s="247"/>
      <c r="H55" s="247"/>
      <c r="I55" s="247"/>
      <c r="J55" s="247"/>
      <c r="K55" s="247"/>
      <c r="L55" s="247"/>
      <c r="M55" s="247"/>
      <c r="N55" s="247"/>
      <c r="O55" s="247"/>
      <c r="P55" s="247"/>
      <c r="Q55" s="247"/>
      <c r="W55" s="160"/>
      <c r="X55" s="106"/>
      <c r="Y55" s="106"/>
      <c r="Z55" s="106"/>
      <c r="AA55" s="106"/>
      <c r="AB55" s="106"/>
      <c r="AC55" s="106"/>
      <c r="AD55" s="106"/>
      <c r="AE55" s="106"/>
      <c r="AF55" s="106"/>
      <c r="AG55" s="106"/>
      <c r="AH55" s="106"/>
      <c r="AI55" s="106"/>
    </row>
    <row r="56" spans="1:35" ht="20" customHeight="1">
      <c r="A56" s="165"/>
      <c r="C56" s="621" t="str">
        <f>IF(Goals!$C$12="","",Goals!$B$12)</f>
        <v>Meta 1</v>
      </c>
      <c r="D56" s="621"/>
      <c r="E56" s="621"/>
      <c r="F56" s="621"/>
      <c r="G56" s="621"/>
      <c r="H56" s="621"/>
      <c r="I56" s="154"/>
      <c r="J56" s="621" t="str">
        <f>IF(Goals!$C$13="","",Goals!$B$13)</f>
        <v>Meta 2</v>
      </c>
      <c r="K56" s="621"/>
      <c r="L56" s="621"/>
      <c r="M56" s="621"/>
      <c r="N56" s="621"/>
      <c r="O56" s="621"/>
      <c r="P56" s="154"/>
      <c r="Q56" s="621" t="str">
        <f>IF(Goals!$C$14="","",Goals!$B$14)</f>
        <v>Meta 3</v>
      </c>
      <c r="R56" s="621"/>
      <c r="S56" s="621"/>
      <c r="T56" s="621"/>
      <c r="U56" s="621"/>
      <c r="V56" s="621"/>
      <c r="W56" s="160"/>
      <c r="X56" s="106"/>
      <c r="Y56" s="106"/>
      <c r="Z56" s="106"/>
      <c r="AA56" s="106"/>
      <c r="AB56" s="106"/>
      <c r="AC56" s="106"/>
      <c r="AD56" s="106"/>
      <c r="AE56" s="106"/>
      <c r="AF56" s="106"/>
      <c r="AG56" s="106"/>
      <c r="AH56" s="106"/>
      <c r="AI56" s="106"/>
    </row>
    <row r="57" spans="1:35" ht="20" customHeight="1">
      <c r="A57" s="165"/>
      <c r="C57" s="616" t="str">
        <f>IF(Goals!C12="","",Goals!C12)</f>
        <v>Expandir la presencia nacional de Caracolitos mediante la apertura de nuevas sucursales.</v>
      </c>
      <c r="D57" s="616"/>
      <c r="E57" s="616"/>
      <c r="F57" s="616"/>
      <c r="G57" s="616"/>
      <c r="H57" s="616"/>
      <c r="I57" s="247"/>
      <c r="J57" s="616" t="str">
        <f>IF(Goals!C13="","",Goals!C13)</f>
        <v>Mejorar la productividad de los procesos operativos en planta.</v>
      </c>
      <c r="K57" s="616"/>
      <c r="L57" s="616"/>
      <c r="M57" s="616"/>
      <c r="N57" s="616"/>
      <c r="O57" s="616"/>
      <c r="P57" s="247"/>
      <c r="Q57" s="616" t="str">
        <f>IF(Goals!C14="","",Goals!C14)</f>
        <v>Fortalecer el posicionamiento de la marca Caracolitos a nivel nacional.</v>
      </c>
      <c r="R57" s="616"/>
      <c r="S57" s="616"/>
      <c r="T57" s="616"/>
      <c r="U57" s="616"/>
      <c r="V57" s="616"/>
      <c r="W57" s="160"/>
      <c r="X57" s="106"/>
      <c r="Y57" s="106"/>
      <c r="Z57" s="106"/>
      <c r="AA57" s="106"/>
      <c r="AB57" s="106"/>
      <c r="AC57" s="106"/>
      <c r="AD57" s="106"/>
      <c r="AE57" s="106"/>
      <c r="AF57" s="106"/>
      <c r="AG57" s="106"/>
      <c r="AH57" s="106"/>
      <c r="AI57" s="106"/>
    </row>
    <row r="58" spans="1:35" ht="20" customHeight="1">
      <c r="A58" s="165"/>
      <c r="C58" s="617"/>
      <c r="D58" s="617"/>
      <c r="E58" s="617"/>
      <c r="F58" s="617"/>
      <c r="G58" s="617"/>
      <c r="H58" s="617"/>
      <c r="I58" s="247"/>
      <c r="J58" s="617"/>
      <c r="K58" s="617"/>
      <c r="L58" s="617"/>
      <c r="M58" s="617"/>
      <c r="N58" s="617"/>
      <c r="O58" s="617"/>
      <c r="P58" s="247"/>
      <c r="Q58" s="617"/>
      <c r="R58" s="617"/>
      <c r="S58" s="617"/>
      <c r="T58" s="617"/>
      <c r="U58" s="617"/>
      <c r="V58" s="617"/>
      <c r="W58" s="160"/>
      <c r="X58" s="106"/>
      <c r="Y58" s="106"/>
      <c r="Z58" s="106"/>
      <c r="AA58" s="106"/>
      <c r="AB58" s="106"/>
      <c r="AC58" s="106"/>
      <c r="AD58" s="106"/>
      <c r="AE58" s="106"/>
      <c r="AF58" s="106"/>
      <c r="AG58" s="106"/>
      <c r="AH58" s="106"/>
      <c r="AI58" s="106"/>
    </row>
    <row r="59" spans="1:35" ht="20" customHeight="1">
      <c r="A59" s="165"/>
      <c r="C59" s="618">
        <f>IF(C57="","",Goals!F12)</f>
        <v>0</v>
      </c>
      <c r="D59" s="618"/>
      <c r="E59" s="618"/>
      <c r="F59" s="618"/>
      <c r="G59" s="618"/>
      <c r="H59" s="618"/>
      <c r="I59" s="247"/>
      <c r="J59" s="618">
        <f>IF(J57="","",Goals!F13)</f>
        <v>0</v>
      </c>
      <c r="K59" s="618"/>
      <c r="L59" s="618"/>
      <c r="M59" s="618"/>
      <c r="N59" s="618"/>
      <c r="O59" s="618"/>
      <c r="P59" s="247"/>
      <c r="Q59" s="618">
        <f>IF(Q57="","",Goals!F14)</f>
        <v>0</v>
      </c>
      <c r="R59" s="618"/>
      <c r="S59" s="618"/>
      <c r="T59" s="618"/>
      <c r="U59" s="618"/>
      <c r="V59" s="618"/>
      <c r="W59" s="160"/>
      <c r="X59" s="106"/>
      <c r="Y59" s="106"/>
      <c r="Z59" s="106"/>
      <c r="AA59" s="106"/>
      <c r="AB59" s="106"/>
      <c r="AC59" s="106"/>
      <c r="AD59" s="106"/>
      <c r="AE59" s="106"/>
      <c r="AF59" s="106"/>
      <c r="AG59" s="106"/>
      <c r="AH59" s="106"/>
      <c r="AI59" s="106"/>
    </row>
    <row r="60" spans="1:35" ht="20" customHeight="1">
      <c r="A60" s="165"/>
      <c r="C60" s="618"/>
      <c r="D60" s="618"/>
      <c r="E60" s="618"/>
      <c r="F60" s="618"/>
      <c r="G60" s="618"/>
      <c r="H60" s="618"/>
      <c r="I60" s="247"/>
      <c r="J60" s="618"/>
      <c r="K60" s="618"/>
      <c r="L60" s="618"/>
      <c r="M60" s="618"/>
      <c r="N60" s="618"/>
      <c r="O60" s="618"/>
      <c r="P60" s="247"/>
      <c r="Q60" s="618"/>
      <c r="R60" s="618"/>
      <c r="S60" s="618"/>
      <c r="T60" s="618"/>
      <c r="U60" s="618"/>
      <c r="V60" s="618"/>
      <c r="W60" s="160"/>
      <c r="X60" s="106"/>
      <c r="Y60" s="106"/>
      <c r="Z60" s="106"/>
      <c r="AA60" s="106"/>
      <c r="AB60" s="106"/>
      <c r="AC60" s="106"/>
      <c r="AD60" s="106"/>
      <c r="AE60" s="106"/>
      <c r="AF60" s="106"/>
      <c r="AG60" s="106"/>
      <c r="AH60" s="106"/>
      <c r="AI60" s="106"/>
    </row>
    <row r="61" spans="1:35" ht="20" customHeight="1">
      <c r="A61" s="165"/>
      <c r="C61" s="618"/>
      <c r="D61" s="618"/>
      <c r="E61" s="618"/>
      <c r="F61" s="618"/>
      <c r="G61" s="618"/>
      <c r="H61" s="618"/>
      <c r="I61" s="247"/>
      <c r="J61" s="618"/>
      <c r="K61" s="618"/>
      <c r="L61" s="618"/>
      <c r="M61" s="618"/>
      <c r="N61" s="618"/>
      <c r="O61" s="618"/>
      <c r="P61" s="247"/>
      <c r="Q61" s="618"/>
      <c r="R61" s="618"/>
      <c r="S61" s="618"/>
      <c r="T61" s="618"/>
      <c r="U61" s="618"/>
      <c r="V61" s="618"/>
      <c r="W61" s="160"/>
      <c r="X61" s="106"/>
      <c r="Y61" s="106"/>
      <c r="Z61" s="106"/>
      <c r="AA61" s="106"/>
      <c r="AB61" s="106"/>
      <c r="AC61" s="106"/>
      <c r="AD61" s="106"/>
      <c r="AE61" s="106"/>
      <c r="AF61" s="106"/>
      <c r="AG61" s="106"/>
      <c r="AH61" s="106"/>
      <c r="AI61" s="106"/>
    </row>
    <row r="62" spans="1:35" ht="9" customHeight="1">
      <c r="A62" s="165"/>
      <c r="C62" s="247"/>
      <c r="D62" s="247"/>
      <c r="E62" s="247"/>
      <c r="F62" s="247"/>
      <c r="G62" s="247"/>
      <c r="H62" s="247"/>
      <c r="I62" s="247"/>
      <c r="J62" s="247"/>
      <c r="K62" s="247"/>
      <c r="L62" s="247"/>
      <c r="M62" s="247"/>
      <c r="N62" s="247"/>
      <c r="O62" s="247"/>
      <c r="P62" s="247"/>
      <c r="Q62" s="247"/>
      <c r="W62" s="160"/>
      <c r="X62" s="106"/>
      <c r="Y62" s="106"/>
      <c r="Z62" s="106"/>
      <c r="AA62" s="106"/>
      <c r="AB62" s="106"/>
      <c r="AC62" s="106"/>
      <c r="AD62" s="106"/>
      <c r="AE62" s="106"/>
      <c r="AF62" s="106"/>
      <c r="AG62" s="106"/>
      <c r="AH62" s="106"/>
      <c r="AI62" s="106"/>
    </row>
    <row r="63" spans="1:35" ht="20" customHeight="1">
      <c r="A63" s="165"/>
      <c r="C63" s="621" t="str">
        <f>IF(Goals!$C$15="","",Goals!$B$15)</f>
        <v>Meta 4</v>
      </c>
      <c r="D63" s="621"/>
      <c r="E63" s="621"/>
      <c r="F63" s="621"/>
      <c r="G63" s="621"/>
      <c r="H63" s="621"/>
      <c r="I63" s="154"/>
      <c r="J63" s="621" t="str">
        <f>IF(Goals!$C$16="","",Goals!$B$16)</f>
        <v>Meta 5</v>
      </c>
      <c r="K63" s="621"/>
      <c r="L63" s="621"/>
      <c r="M63" s="621"/>
      <c r="N63" s="621"/>
      <c r="O63" s="621"/>
      <c r="P63" s="154"/>
      <c r="Q63" s="621" t="str">
        <f>IF(Goals!$C$17="","",Goals!$B$17)</f>
        <v>Meta 6</v>
      </c>
      <c r="R63" s="621"/>
      <c r="S63" s="621"/>
      <c r="T63" s="621"/>
      <c r="U63" s="621"/>
      <c r="V63" s="621"/>
      <c r="W63" s="160"/>
      <c r="X63" s="106"/>
      <c r="Y63" s="106"/>
      <c r="Z63" s="106"/>
      <c r="AA63" s="106"/>
      <c r="AB63" s="106"/>
      <c r="AC63" s="106"/>
      <c r="AD63" s="106"/>
      <c r="AE63" s="106"/>
      <c r="AF63" s="106"/>
      <c r="AG63" s="106"/>
      <c r="AH63" s="106"/>
      <c r="AI63" s="106"/>
    </row>
    <row r="64" spans="1:35" ht="20" customHeight="1">
      <c r="A64" s="165"/>
      <c r="C64" s="616" t="str">
        <f>IF(Goals!C15="","",Goals!C15)</f>
        <v>Asegurar la calidad e inocuidad de los productos en todos los procesos de la planta.</v>
      </c>
      <c r="D64" s="616"/>
      <c r="E64" s="616"/>
      <c r="F64" s="616"/>
      <c r="G64" s="616"/>
      <c r="H64" s="616"/>
      <c r="I64" s="247"/>
      <c r="J64" s="616" t="str">
        <f>IF(Goals!C16="","",Goals!C16)</f>
        <v>Incrementar las ventas a través de plataformas digitales.</v>
      </c>
      <c r="K64" s="616"/>
      <c r="L64" s="616"/>
      <c r="M64" s="616"/>
      <c r="N64" s="616"/>
      <c r="O64" s="616"/>
      <c r="P64" s="247"/>
      <c r="Q64" s="616" t="str">
        <f>IF(Goals!C17="","",Goals!C17)</f>
        <v>Desarrollar y fidelizar al talento humano de la empresa.</v>
      </c>
      <c r="R64" s="616"/>
      <c r="S64" s="616"/>
      <c r="T64" s="616"/>
      <c r="U64" s="616"/>
      <c r="V64" s="616"/>
      <c r="W64" s="160"/>
      <c r="X64" s="106"/>
      <c r="Y64" s="106"/>
      <c r="Z64" s="106"/>
      <c r="AA64" s="106"/>
      <c r="AB64" s="106"/>
      <c r="AC64" s="106"/>
      <c r="AD64" s="106"/>
      <c r="AE64" s="106"/>
      <c r="AF64" s="106"/>
      <c r="AG64" s="106"/>
      <c r="AH64" s="106"/>
      <c r="AI64" s="106"/>
    </row>
    <row r="65" spans="1:35" ht="20" customHeight="1">
      <c r="A65" s="165"/>
      <c r="C65" s="617"/>
      <c r="D65" s="617"/>
      <c r="E65" s="617"/>
      <c r="F65" s="617"/>
      <c r="G65" s="617"/>
      <c r="H65" s="617"/>
      <c r="I65" s="247"/>
      <c r="J65" s="617"/>
      <c r="K65" s="617"/>
      <c r="L65" s="617"/>
      <c r="M65" s="617"/>
      <c r="N65" s="617"/>
      <c r="O65" s="617"/>
      <c r="P65" s="247"/>
      <c r="Q65" s="617"/>
      <c r="R65" s="617"/>
      <c r="S65" s="617"/>
      <c r="T65" s="617"/>
      <c r="U65" s="617"/>
      <c r="V65" s="617"/>
      <c r="W65" s="160"/>
      <c r="X65" s="106"/>
      <c r="Y65" s="106"/>
      <c r="Z65" s="106"/>
      <c r="AA65" s="106"/>
      <c r="AB65" s="106"/>
      <c r="AC65" s="106"/>
      <c r="AD65" s="106"/>
      <c r="AE65" s="106"/>
      <c r="AF65" s="106"/>
      <c r="AG65" s="106"/>
      <c r="AH65" s="106"/>
      <c r="AI65" s="106"/>
    </row>
    <row r="66" spans="1:35" ht="20" customHeight="1">
      <c r="A66" s="165"/>
      <c r="C66" s="618">
        <f>IF(C64="","",Goals!F15)</f>
        <v>0</v>
      </c>
      <c r="D66" s="618"/>
      <c r="E66" s="618"/>
      <c r="F66" s="618"/>
      <c r="G66" s="618"/>
      <c r="H66" s="618"/>
      <c r="I66" s="247"/>
      <c r="J66" s="618">
        <f>IF(J64="","",Goals!F16)</f>
        <v>0</v>
      </c>
      <c r="K66" s="618"/>
      <c r="L66" s="618"/>
      <c r="M66" s="618"/>
      <c r="N66" s="618"/>
      <c r="O66" s="618"/>
      <c r="P66" s="247"/>
      <c r="Q66" s="618">
        <f>IF(Q64="","",Goals!F17)</f>
        <v>0</v>
      </c>
      <c r="R66" s="618"/>
      <c r="S66" s="618"/>
      <c r="T66" s="618"/>
      <c r="U66" s="618"/>
      <c r="V66" s="618"/>
      <c r="W66" s="160"/>
      <c r="X66" s="106"/>
      <c r="Y66" s="106"/>
      <c r="Z66" s="106"/>
      <c r="AA66" s="106"/>
      <c r="AB66" s="106"/>
      <c r="AC66" s="106"/>
      <c r="AD66" s="106"/>
      <c r="AE66" s="106"/>
      <c r="AF66" s="106"/>
      <c r="AG66" s="106"/>
      <c r="AH66" s="106"/>
      <c r="AI66" s="106"/>
    </row>
    <row r="67" spans="1:35" ht="20" customHeight="1">
      <c r="A67" s="165"/>
      <c r="C67" s="618"/>
      <c r="D67" s="618"/>
      <c r="E67" s="618"/>
      <c r="F67" s="618"/>
      <c r="G67" s="618"/>
      <c r="H67" s="618"/>
      <c r="I67" s="247"/>
      <c r="J67" s="618"/>
      <c r="K67" s="618"/>
      <c r="L67" s="618"/>
      <c r="M67" s="618"/>
      <c r="N67" s="618"/>
      <c r="O67" s="618"/>
      <c r="P67" s="247"/>
      <c r="Q67" s="618"/>
      <c r="R67" s="618"/>
      <c r="S67" s="618"/>
      <c r="T67" s="618"/>
      <c r="U67" s="618"/>
      <c r="V67" s="618"/>
      <c r="W67" s="160"/>
      <c r="X67" s="106"/>
      <c r="Y67" s="106"/>
      <c r="Z67" s="106"/>
      <c r="AA67" s="106"/>
      <c r="AB67" s="106"/>
      <c r="AC67" s="106"/>
      <c r="AD67" s="106"/>
      <c r="AE67" s="106"/>
      <c r="AF67" s="106"/>
      <c r="AG67" s="106"/>
      <c r="AH67" s="106"/>
      <c r="AI67" s="106"/>
    </row>
    <row r="68" spans="1:35" ht="20" customHeight="1">
      <c r="A68" s="165"/>
      <c r="C68" s="618"/>
      <c r="D68" s="618"/>
      <c r="E68" s="618"/>
      <c r="F68" s="618"/>
      <c r="G68" s="618"/>
      <c r="H68" s="618"/>
      <c r="I68" s="247"/>
      <c r="J68" s="618"/>
      <c r="K68" s="618"/>
      <c r="L68" s="618"/>
      <c r="M68" s="618"/>
      <c r="N68" s="618"/>
      <c r="O68" s="618"/>
      <c r="P68" s="247"/>
      <c r="Q68" s="618"/>
      <c r="R68" s="618"/>
      <c r="S68" s="618"/>
      <c r="T68" s="618"/>
      <c r="U68" s="618"/>
      <c r="V68" s="618"/>
      <c r="W68" s="160"/>
      <c r="X68" s="106"/>
      <c r="Y68" s="106"/>
      <c r="Z68" s="106"/>
      <c r="AA68" s="106"/>
      <c r="AB68" s="106"/>
      <c r="AC68" s="106"/>
      <c r="AD68" s="106"/>
      <c r="AE68" s="106"/>
      <c r="AF68" s="106"/>
      <c r="AG68" s="106"/>
      <c r="AH68" s="106"/>
      <c r="AI68" s="106"/>
    </row>
    <row r="69" spans="1:35" ht="8" customHeight="1">
      <c r="A69" s="165"/>
      <c r="C69" s="247"/>
      <c r="D69" s="247"/>
      <c r="E69" s="247"/>
      <c r="F69" s="247"/>
      <c r="G69" s="247"/>
      <c r="H69" s="247"/>
      <c r="I69" s="247"/>
      <c r="J69" s="247"/>
      <c r="K69" s="247"/>
      <c r="L69" s="247"/>
      <c r="M69" s="247"/>
      <c r="N69" s="247"/>
      <c r="O69" s="247"/>
      <c r="P69" s="247"/>
      <c r="Q69" s="247"/>
      <c r="W69" s="160"/>
      <c r="X69" s="106"/>
      <c r="Y69" s="106"/>
      <c r="Z69" s="106"/>
      <c r="AA69" s="106"/>
      <c r="AB69" s="106"/>
      <c r="AC69" s="106"/>
      <c r="AD69" s="106"/>
      <c r="AE69" s="106"/>
      <c r="AF69" s="106"/>
      <c r="AG69" s="106"/>
      <c r="AH69" s="106"/>
      <c r="AI69" s="106"/>
    </row>
    <row r="70" spans="1:35" ht="20" customHeight="1">
      <c r="A70" s="165"/>
      <c r="W70" s="160"/>
      <c r="X70" s="106"/>
      <c r="Y70" s="106"/>
      <c r="Z70" s="106"/>
      <c r="AA70" s="106"/>
      <c r="AB70" s="106"/>
      <c r="AC70" s="106"/>
      <c r="AD70" s="106"/>
      <c r="AE70" s="106"/>
      <c r="AF70" s="106"/>
      <c r="AG70" s="106"/>
      <c r="AH70" s="106"/>
      <c r="AI70" s="106"/>
    </row>
    <row r="71" spans="1:35" ht="20" customHeight="1">
      <c r="A71" s="165"/>
      <c r="G71" s="155"/>
      <c r="H71" s="155"/>
      <c r="I71" s="155"/>
      <c r="J71" s="155"/>
      <c r="K71" s="155"/>
      <c r="L71" s="155"/>
      <c r="M71" s="155"/>
      <c r="N71" s="155"/>
      <c r="O71" s="155"/>
      <c r="P71" s="155"/>
      <c r="Q71" s="155"/>
      <c r="W71" s="160"/>
      <c r="X71" s="106"/>
      <c r="Y71" s="106"/>
      <c r="Z71" s="106"/>
      <c r="AA71" s="106"/>
      <c r="AB71" s="106"/>
      <c r="AC71" s="106"/>
      <c r="AD71" s="106"/>
      <c r="AE71" s="106"/>
      <c r="AF71" s="106"/>
      <c r="AG71" s="106"/>
      <c r="AH71" s="106"/>
      <c r="AI71" s="106"/>
    </row>
    <row r="72" spans="1:35" ht="20" customHeight="1">
      <c r="A72" s="165"/>
      <c r="C72" s="612" t="str">
        <f>IF(C57="","",C57)</f>
        <v>Expandir la presencia nacional de Caracolitos mediante la apertura de nuevas sucursales.</v>
      </c>
      <c r="D72" s="612"/>
      <c r="E72" s="612"/>
      <c r="F72" s="612"/>
      <c r="G72" s="612"/>
      <c r="H72" s="612"/>
      <c r="I72" s="156"/>
      <c r="J72" s="612" t="str">
        <f>IF(J57="","",J57)</f>
        <v>Mejorar la productividad de los procesos operativos en planta.</v>
      </c>
      <c r="K72" s="612"/>
      <c r="L72" s="612"/>
      <c r="M72" s="612"/>
      <c r="N72" s="612"/>
      <c r="O72" s="612"/>
      <c r="P72" s="157"/>
      <c r="Q72" s="612" t="str">
        <f>IF(Q57="","",Q57)</f>
        <v>Fortalecer el posicionamiento de la marca Caracolitos a nivel nacional.</v>
      </c>
      <c r="R72" s="612"/>
      <c r="S72" s="612"/>
      <c r="T72" s="612"/>
      <c r="U72" s="612"/>
      <c r="V72" s="612"/>
      <c r="W72" s="160"/>
      <c r="X72" s="106"/>
      <c r="Y72" s="106"/>
      <c r="Z72" s="106"/>
      <c r="AA72" s="106"/>
      <c r="AB72" s="106"/>
      <c r="AC72" s="106"/>
      <c r="AD72" s="106"/>
      <c r="AE72" s="106"/>
      <c r="AF72" s="106"/>
      <c r="AG72" s="106"/>
      <c r="AH72" s="106"/>
      <c r="AI72" s="106"/>
    </row>
    <row r="73" spans="1:35" ht="20" customHeight="1">
      <c r="A73" s="165"/>
      <c r="C73" s="613"/>
      <c r="D73" s="613"/>
      <c r="E73" s="613"/>
      <c r="F73" s="613"/>
      <c r="G73" s="613"/>
      <c r="H73" s="613"/>
      <c r="I73" s="158"/>
      <c r="J73" s="613"/>
      <c r="K73" s="613"/>
      <c r="L73" s="613"/>
      <c r="M73" s="613"/>
      <c r="N73" s="613"/>
      <c r="O73" s="613"/>
      <c r="P73" s="157"/>
      <c r="Q73" s="613"/>
      <c r="R73" s="613"/>
      <c r="S73" s="613"/>
      <c r="T73" s="613"/>
      <c r="U73" s="613"/>
      <c r="V73" s="613"/>
      <c r="W73" s="160"/>
      <c r="X73" s="106"/>
      <c r="Y73" s="106"/>
      <c r="Z73" s="106"/>
      <c r="AA73" s="106"/>
      <c r="AB73" s="106"/>
      <c r="AC73" s="106"/>
      <c r="AD73" s="106"/>
      <c r="AE73" s="106"/>
      <c r="AF73" s="106"/>
      <c r="AG73" s="106"/>
      <c r="AH73" s="106"/>
      <c r="AI73" s="106"/>
    </row>
    <row r="74" spans="1:35" ht="20" customHeight="1" thickBot="1">
      <c r="A74" s="165"/>
      <c r="C74" s="609" t="str">
        <f>Lan!F45</f>
        <v>Objetivos</v>
      </c>
      <c r="D74" s="610"/>
      <c r="E74" s="610"/>
      <c r="F74" s="610"/>
      <c r="G74" s="610"/>
      <c r="H74" s="611"/>
      <c r="I74" s="153"/>
      <c r="J74" s="609" t="str">
        <f>Lan!F45</f>
        <v>Objetivos</v>
      </c>
      <c r="K74" s="610"/>
      <c r="L74" s="610"/>
      <c r="M74" s="610"/>
      <c r="N74" s="610"/>
      <c r="O74" s="611"/>
      <c r="Q74" s="609" t="str">
        <f>Lan!F45</f>
        <v>Objetivos</v>
      </c>
      <c r="R74" s="610"/>
      <c r="S74" s="610"/>
      <c r="T74" s="610"/>
      <c r="U74" s="610"/>
      <c r="V74" s="611"/>
      <c r="W74" s="160"/>
      <c r="X74" s="106"/>
      <c r="Y74" s="106"/>
      <c r="Z74" s="106"/>
      <c r="AA74" s="106"/>
      <c r="AB74" s="106"/>
      <c r="AC74" s="106"/>
      <c r="AD74" s="106"/>
      <c r="AE74" s="106"/>
      <c r="AF74" s="106"/>
      <c r="AG74" s="106"/>
      <c r="AH74" s="106"/>
      <c r="AI74" s="106"/>
    </row>
    <row r="75" spans="1:35" ht="20" customHeight="1">
      <c r="A75" s="165"/>
      <c r="C75" s="615" t="str">
        <f>IF('O1'!B12="","",'O1'!B12)</f>
        <v>Abrir 2 nuevas sucursales en ciudades turísticas del país antes de julio de 2026.</v>
      </c>
      <c r="D75" s="615"/>
      <c r="E75" s="615"/>
      <c r="F75" s="615"/>
      <c r="G75" s="615"/>
      <c r="H75" s="615"/>
      <c r="I75" s="241"/>
      <c r="J75" s="608" t="str">
        <f>IF('O2'!B12="","",'O2'!B12)</f>
        <v>Reducir en 15% los tiempos de producción promedio por lote para diciembre 2025.</v>
      </c>
      <c r="K75" s="608"/>
      <c r="L75" s="608"/>
      <c r="M75" s="608"/>
      <c r="N75" s="608"/>
      <c r="O75" s="608"/>
      <c r="P75" s="242"/>
      <c r="Q75" s="608" t="str">
        <f>IF('O3'!B12="","",'O3'!B12)</f>
        <v>Incrementar en 30% el reconocimiento de marca en redes sociales antes de junio de 2026.</v>
      </c>
      <c r="R75" s="608"/>
      <c r="S75" s="608"/>
      <c r="T75" s="608"/>
      <c r="U75" s="608"/>
      <c r="V75" s="608"/>
      <c r="W75" s="399"/>
      <c r="X75" s="106"/>
      <c r="Y75" s="106"/>
      <c r="Z75" s="106"/>
      <c r="AA75" s="106"/>
      <c r="AB75" s="106"/>
      <c r="AC75" s="106"/>
      <c r="AD75" s="106"/>
      <c r="AE75" s="106"/>
      <c r="AF75" s="106"/>
      <c r="AG75" s="106"/>
      <c r="AH75" s="106"/>
      <c r="AI75" s="106"/>
    </row>
    <row r="76" spans="1:35" ht="20" customHeight="1">
      <c r="A76" s="165"/>
      <c r="C76" s="608" t="str">
        <f>IF('O1'!B13="","",'O1'!B13)</f>
        <v/>
      </c>
      <c r="D76" s="608"/>
      <c r="E76" s="608"/>
      <c r="F76" s="608"/>
      <c r="G76" s="608"/>
      <c r="H76" s="608"/>
      <c r="I76" s="241"/>
      <c r="J76" s="608" t="str">
        <f>IF('O2'!B13="","",'O2'!B13)</f>
        <v/>
      </c>
      <c r="K76" s="608"/>
      <c r="L76" s="608"/>
      <c r="M76" s="608"/>
      <c r="N76" s="608"/>
      <c r="O76" s="608"/>
      <c r="P76" s="242"/>
      <c r="Q76" s="608" t="str">
        <f>IF('O3'!B13="","",'O3'!B13)</f>
        <v>Lograr que 60% de los visitantes recomienden nuestros productos en encuestas de salida para diciembre de 2025.</v>
      </c>
      <c r="R76" s="608"/>
      <c r="S76" s="608"/>
      <c r="T76" s="608"/>
      <c r="U76" s="608"/>
      <c r="V76" s="608"/>
      <c r="W76" s="399"/>
      <c r="X76" s="106"/>
      <c r="Y76" s="106"/>
      <c r="Z76" s="106"/>
      <c r="AA76" s="106"/>
      <c r="AB76" s="106"/>
      <c r="AC76" s="106"/>
      <c r="AD76" s="106"/>
      <c r="AE76" s="106"/>
      <c r="AF76" s="106"/>
      <c r="AG76" s="106"/>
      <c r="AH76" s="106"/>
      <c r="AI76" s="106"/>
    </row>
    <row r="77" spans="1:35" ht="20" customHeight="1">
      <c r="A77" s="165"/>
      <c r="C77" s="608" t="str">
        <f>IF('O1'!B14="","",'O1'!B14)</f>
        <v/>
      </c>
      <c r="D77" s="608"/>
      <c r="E77" s="608"/>
      <c r="F77" s="608"/>
      <c r="G77" s="608"/>
      <c r="H77" s="608"/>
      <c r="I77" s="241"/>
      <c r="J77" s="608" t="str">
        <f>IF('O2'!B14="","",'O2'!B14)</f>
        <v/>
      </c>
      <c r="K77" s="608"/>
      <c r="L77" s="608"/>
      <c r="M77" s="608"/>
      <c r="N77" s="608"/>
      <c r="O77" s="608"/>
      <c r="P77" s="242"/>
      <c r="Q77" s="608" t="str">
        <f>IF('O3'!B14="","",'O3'!B14)</f>
        <v/>
      </c>
      <c r="R77" s="608"/>
      <c r="S77" s="608"/>
      <c r="T77" s="608"/>
      <c r="U77" s="608"/>
      <c r="V77" s="608"/>
      <c r="W77" s="399"/>
      <c r="X77" s="106"/>
      <c r="Y77" s="106"/>
      <c r="Z77" s="106"/>
      <c r="AA77" s="106"/>
      <c r="AB77" s="106"/>
      <c r="AC77" s="106"/>
      <c r="AD77" s="106"/>
      <c r="AE77" s="106"/>
      <c r="AF77" s="106"/>
      <c r="AG77" s="106"/>
      <c r="AH77" s="106"/>
      <c r="AI77" s="106"/>
    </row>
    <row r="78" spans="1:35" ht="20" customHeight="1">
      <c r="A78" s="165"/>
      <c r="C78" s="608" t="str">
        <f>IF('O1'!B15="","",'O1'!B15)</f>
        <v/>
      </c>
      <c r="D78" s="608"/>
      <c r="E78" s="608"/>
      <c r="F78" s="608"/>
      <c r="G78" s="608"/>
      <c r="H78" s="608"/>
      <c r="I78" s="241"/>
      <c r="J78" s="608" t="str">
        <f>IF('O2'!B15="","",'O2'!B15)</f>
        <v/>
      </c>
      <c r="K78" s="608"/>
      <c r="L78" s="608"/>
      <c r="M78" s="608"/>
      <c r="N78" s="608"/>
      <c r="O78" s="608"/>
      <c r="P78" s="242"/>
      <c r="Q78" s="608" t="str">
        <f>IF('O3'!B15="","",'O3'!B15)</f>
        <v/>
      </c>
      <c r="R78" s="608"/>
      <c r="S78" s="608"/>
      <c r="T78" s="608"/>
      <c r="U78" s="608"/>
      <c r="V78" s="608"/>
      <c r="W78" s="399"/>
      <c r="X78" s="106"/>
      <c r="Y78" s="106"/>
      <c r="Z78" s="106"/>
      <c r="AA78" s="106"/>
      <c r="AB78" s="106"/>
      <c r="AC78" s="106"/>
      <c r="AD78" s="106"/>
      <c r="AE78" s="106"/>
      <c r="AF78" s="106"/>
      <c r="AG78" s="106"/>
      <c r="AH78" s="106"/>
      <c r="AI78" s="106"/>
    </row>
    <row r="79" spans="1:35" ht="20" customHeight="1">
      <c r="A79" s="165"/>
      <c r="C79" s="608" t="str">
        <f>IF('O1'!B16="","",'O1'!B16)</f>
        <v/>
      </c>
      <c r="D79" s="608"/>
      <c r="E79" s="608"/>
      <c r="F79" s="608"/>
      <c r="G79" s="608"/>
      <c r="H79" s="608"/>
      <c r="I79" s="241"/>
      <c r="J79" s="608" t="str">
        <f>IF('O2'!B16="","",'O2'!B16)</f>
        <v/>
      </c>
      <c r="K79" s="608"/>
      <c r="L79" s="608"/>
      <c r="M79" s="608"/>
      <c r="N79" s="608"/>
      <c r="O79" s="608"/>
      <c r="P79" s="242"/>
      <c r="Q79" s="608" t="str">
        <f>IF('O3'!B16="","",'O3'!B16)</f>
        <v/>
      </c>
      <c r="R79" s="608"/>
      <c r="S79" s="608"/>
      <c r="T79" s="608"/>
      <c r="U79" s="608"/>
      <c r="V79" s="608"/>
      <c r="W79" s="399"/>
      <c r="X79" s="106"/>
      <c r="Y79" s="106"/>
      <c r="Z79" s="106"/>
      <c r="AA79" s="106"/>
      <c r="AB79" s="106"/>
      <c r="AC79" s="106"/>
      <c r="AD79" s="106"/>
      <c r="AE79" s="106"/>
      <c r="AF79" s="106"/>
      <c r="AG79" s="106"/>
      <c r="AH79" s="106"/>
      <c r="AI79" s="106"/>
    </row>
    <row r="80" spans="1:35" ht="20" customHeight="1">
      <c r="A80" s="165"/>
      <c r="C80" s="608" t="str">
        <f>IF('O1'!B17="","",'O1'!B17)</f>
        <v/>
      </c>
      <c r="D80" s="608"/>
      <c r="E80" s="608"/>
      <c r="F80" s="608"/>
      <c r="G80" s="608"/>
      <c r="H80" s="608"/>
      <c r="I80" s="241"/>
      <c r="J80" s="608" t="str">
        <f>IF('O2'!B17="","",'O2'!B17)</f>
        <v/>
      </c>
      <c r="K80" s="608"/>
      <c r="L80" s="608"/>
      <c r="M80" s="608"/>
      <c r="N80" s="608"/>
      <c r="O80" s="608"/>
      <c r="P80" s="242"/>
      <c r="Q80" s="608" t="str">
        <f>IF('O3'!B17="","",'O3'!B17)</f>
        <v/>
      </c>
      <c r="R80" s="608"/>
      <c r="S80" s="608"/>
      <c r="T80" s="608"/>
      <c r="U80" s="608"/>
      <c r="V80" s="608"/>
      <c r="W80" s="399"/>
      <c r="X80" s="106"/>
      <c r="Y80" s="106"/>
      <c r="Z80" s="106"/>
      <c r="AA80" s="106"/>
      <c r="AB80" s="106"/>
      <c r="AC80" s="106"/>
      <c r="AD80" s="106"/>
      <c r="AE80" s="106"/>
      <c r="AF80" s="106"/>
      <c r="AG80" s="106"/>
      <c r="AH80" s="106"/>
      <c r="AI80" s="106"/>
    </row>
    <row r="81" spans="1:35" ht="20" customHeight="1">
      <c r="A81" s="165"/>
      <c r="C81" s="608" t="str">
        <f>IF('O1'!B18="","",'O1'!B18)</f>
        <v/>
      </c>
      <c r="D81" s="608"/>
      <c r="E81" s="608"/>
      <c r="F81" s="608"/>
      <c r="G81" s="608"/>
      <c r="H81" s="608"/>
      <c r="I81" s="241"/>
      <c r="J81" s="608" t="str">
        <f>IF('O2'!B18="","",'O2'!B18)</f>
        <v/>
      </c>
      <c r="K81" s="608"/>
      <c r="L81" s="608"/>
      <c r="M81" s="608"/>
      <c r="N81" s="608"/>
      <c r="O81" s="608"/>
      <c r="P81" s="242"/>
      <c r="Q81" s="608" t="str">
        <f>IF('O3'!B18="","",'O3'!B18)</f>
        <v/>
      </c>
      <c r="R81" s="608"/>
      <c r="S81" s="608"/>
      <c r="T81" s="608"/>
      <c r="U81" s="608"/>
      <c r="V81" s="608"/>
      <c r="W81" s="399"/>
      <c r="X81" s="106"/>
      <c r="Y81" s="106"/>
      <c r="Z81" s="106"/>
      <c r="AA81" s="106"/>
      <c r="AB81" s="106"/>
      <c r="AC81" s="106"/>
      <c r="AD81" s="106"/>
      <c r="AE81" s="106"/>
      <c r="AF81" s="106"/>
      <c r="AG81" s="106"/>
      <c r="AH81" s="106"/>
      <c r="AI81" s="106"/>
    </row>
    <row r="82" spans="1:35" ht="20" customHeight="1">
      <c r="A82" s="165"/>
      <c r="C82" s="608" t="str">
        <f>IF('O1'!B19="","",'O1'!B19)</f>
        <v/>
      </c>
      <c r="D82" s="608"/>
      <c r="E82" s="608"/>
      <c r="F82" s="608"/>
      <c r="G82" s="608"/>
      <c r="H82" s="608"/>
      <c r="I82" s="241"/>
      <c r="J82" s="608" t="str">
        <f>IF('O2'!B19="","",'O2'!B19)</f>
        <v/>
      </c>
      <c r="K82" s="608"/>
      <c r="L82" s="608"/>
      <c r="M82" s="608"/>
      <c r="N82" s="608"/>
      <c r="O82" s="608"/>
      <c r="P82" s="242"/>
      <c r="Q82" s="608" t="str">
        <f>IF('O3'!B19="","",'O3'!B19)</f>
        <v/>
      </c>
      <c r="R82" s="608"/>
      <c r="S82" s="608"/>
      <c r="T82" s="608"/>
      <c r="U82" s="608"/>
      <c r="V82" s="608"/>
      <c r="W82" s="399"/>
      <c r="X82" s="106"/>
      <c r="Y82" s="106"/>
      <c r="Z82" s="106"/>
      <c r="AA82" s="106"/>
      <c r="AB82" s="106"/>
      <c r="AC82" s="106"/>
      <c r="AD82" s="106"/>
      <c r="AE82" s="106"/>
      <c r="AF82" s="106"/>
      <c r="AG82" s="106"/>
      <c r="AH82" s="106"/>
      <c r="AI82" s="106"/>
    </row>
    <row r="83" spans="1:35" ht="20" customHeight="1">
      <c r="A83" s="165"/>
      <c r="C83" s="608" t="str">
        <f>IF('O1'!B20="","",'O1'!B20)</f>
        <v/>
      </c>
      <c r="D83" s="608"/>
      <c r="E83" s="608"/>
      <c r="F83" s="608"/>
      <c r="G83" s="608"/>
      <c r="H83" s="608"/>
      <c r="I83" s="241"/>
      <c r="J83" s="608" t="str">
        <f>IF('O2'!B20="","",'O2'!B20)</f>
        <v/>
      </c>
      <c r="K83" s="608"/>
      <c r="L83" s="608"/>
      <c r="M83" s="608"/>
      <c r="N83" s="608"/>
      <c r="O83" s="608"/>
      <c r="P83" s="242"/>
      <c r="Q83" s="608" t="str">
        <f>IF('O3'!B20="","",'O3'!B20)</f>
        <v/>
      </c>
      <c r="R83" s="608"/>
      <c r="S83" s="608"/>
      <c r="T83" s="608"/>
      <c r="U83" s="608"/>
      <c r="V83" s="608"/>
      <c r="W83" s="399"/>
      <c r="X83" s="106"/>
      <c r="Y83" s="106"/>
      <c r="Z83" s="106"/>
      <c r="AA83" s="106"/>
      <c r="AB83" s="106"/>
      <c r="AC83" s="106"/>
      <c r="AD83" s="106"/>
      <c r="AE83" s="106"/>
      <c r="AF83" s="106"/>
      <c r="AG83" s="106"/>
      <c r="AH83" s="106"/>
      <c r="AI83" s="106"/>
    </row>
    <row r="84" spans="1:35" ht="20" customHeight="1">
      <c r="A84" s="165"/>
      <c r="C84" s="607" t="str">
        <f>IF('O1'!B21="","",'O1'!B21)</f>
        <v/>
      </c>
      <c r="D84" s="607"/>
      <c r="E84" s="607"/>
      <c r="F84" s="607"/>
      <c r="G84" s="607"/>
      <c r="H84" s="607"/>
      <c r="I84" s="241"/>
      <c r="J84" s="607" t="str">
        <f>IF('O2'!B21="","",'O2'!B21)</f>
        <v/>
      </c>
      <c r="K84" s="607"/>
      <c r="L84" s="607"/>
      <c r="M84" s="607"/>
      <c r="N84" s="607"/>
      <c r="O84" s="607"/>
      <c r="P84" s="242"/>
      <c r="Q84" s="607" t="str">
        <f>IF('O3'!B21="","",'O3'!B21)</f>
        <v/>
      </c>
      <c r="R84" s="607"/>
      <c r="S84" s="607"/>
      <c r="T84" s="607"/>
      <c r="U84" s="607"/>
      <c r="V84" s="607"/>
      <c r="W84" s="399"/>
      <c r="X84" s="106"/>
      <c r="Y84" s="106"/>
      <c r="Z84" s="106"/>
      <c r="AA84" s="106"/>
      <c r="AB84" s="106"/>
      <c r="AC84" s="106"/>
      <c r="AD84" s="106"/>
      <c r="AE84" s="106"/>
      <c r="AF84" s="106"/>
      <c r="AG84" s="106"/>
      <c r="AH84" s="106"/>
      <c r="AI84" s="106"/>
    </row>
    <row r="85" spans="1:35" ht="20" customHeight="1">
      <c r="A85" s="165"/>
      <c r="C85" s="614"/>
      <c r="D85" s="614"/>
      <c r="E85" s="614"/>
      <c r="F85" s="614"/>
      <c r="I85" s="153"/>
      <c r="J85" s="153"/>
      <c r="K85" s="153"/>
      <c r="L85" s="153"/>
      <c r="M85" s="153"/>
      <c r="N85" s="153"/>
      <c r="O85" s="153"/>
      <c r="R85" s="153"/>
      <c r="S85" s="153"/>
      <c r="T85" s="153"/>
      <c r="U85" s="153"/>
      <c r="V85" s="153"/>
      <c r="W85" s="160"/>
      <c r="X85" s="106"/>
      <c r="Y85" s="106"/>
      <c r="Z85" s="106"/>
      <c r="AA85" s="106"/>
      <c r="AB85" s="106"/>
      <c r="AC85" s="106"/>
      <c r="AD85" s="106"/>
      <c r="AE85" s="106"/>
      <c r="AF85" s="106"/>
      <c r="AG85" s="106"/>
      <c r="AH85" s="106"/>
      <c r="AI85" s="106"/>
    </row>
    <row r="86" spans="1:35" ht="20" customHeight="1">
      <c r="A86" s="165"/>
      <c r="C86" s="612" t="str">
        <f>IF(C64="","",C64)</f>
        <v>Asegurar la calidad e inocuidad de los productos en todos los procesos de la planta.</v>
      </c>
      <c r="D86" s="612"/>
      <c r="E86" s="612"/>
      <c r="F86" s="612"/>
      <c r="G86" s="612"/>
      <c r="H86" s="612"/>
      <c r="I86" s="156"/>
      <c r="J86" s="612" t="str">
        <f>IF(J64="","",J64)</f>
        <v>Incrementar las ventas a través de plataformas digitales.</v>
      </c>
      <c r="K86" s="612"/>
      <c r="L86" s="612"/>
      <c r="M86" s="612"/>
      <c r="N86" s="612"/>
      <c r="O86" s="612"/>
      <c r="P86" s="159"/>
      <c r="Q86" s="612" t="str">
        <f>IF(Q64="","",Q64)</f>
        <v>Desarrollar y fidelizar al talento humano de la empresa.</v>
      </c>
      <c r="R86" s="612"/>
      <c r="S86" s="612"/>
      <c r="T86" s="612"/>
      <c r="U86" s="612"/>
      <c r="V86" s="612"/>
      <c r="W86" s="160"/>
      <c r="X86" s="106"/>
      <c r="Y86" s="106"/>
      <c r="Z86" s="106"/>
      <c r="AA86" s="106"/>
      <c r="AB86" s="106"/>
      <c r="AC86" s="106"/>
      <c r="AD86" s="106"/>
      <c r="AE86" s="106"/>
      <c r="AF86" s="106"/>
      <c r="AG86" s="106"/>
      <c r="AH86" s="106"/>
      <c r="AI86" s="106"/>
    </row>
    <row r="87" spans="1:35" ht="20" customHeight="1">
      <c r="A87" s="165"/>
      <c r="C87" s="613"/>
      <c r="D87" s="613"/>
      <c r="E87" s="613"/>
      <c r="F87" s="613"/>
      <c r="G87" s="613"/>
      <c r="H87" s="613"/>
      <c r="I87" s="158"/>
      <c r="J87" s="613"/>
      <c r="K87" s="613"/>
      <c r="L87" s="613"/>
      <c r="M87" s="613"/>
      <c r="N87" s="613"/>
      <c r="O87" s="613"/>
      <c r="P87" s="159"/>
      <c r="Q87" s="613"/>
      <c r="R87" s="613"/>
      <c r="S87" s="613"/>
      <c r="T87" s="613"/>
      <c r="U87" s="613"/>
      <c r="V87" s="613"/>
      <c r="W87" s="160"/>
      <c r="X87" s="106"/>
      <c r="Y87" s="106"/>
      <c r="Z87" s="106"/>
      <c r="AA87" s="106"/>
      <c r="AB87" s="106"/>
      <c r="AC87" s="106"/>
      <c r="AD87" s="106"/>
      <c r="AE87" s="106"/>
      <c r="AF87" s="106"/>
      <c r="AG87" s="106"/>
      <c r="AH87" s="106"/>
      <c r="AI87" s="106"/>
    </row>
    <row r="88" spans="1:35" ht="20" customHeight="1" thickBot="1">
      <c r="A88" s="165"/>
      <c r="C88" s="609" t="str">
        <f>Lan!F45</f>
        <v>Objetivos</v>
      </c>
      <c r="D88" s="610"/>
      <c r="E88" s="610"/>
      <c r="F88" s="610"/>
      <c r="G88" s="610"/>
      <c r="H88" s="611"/>
      <c r="I88" s="153"/>
      <c r="J88" s="609" t="str">
        <f>Lan!F45</f>
        <v>Objetivos</v>
      </c>
      <c r="K88" s="610"/>
      <c r="L88" s="610"/>
      <c r="M88" s="610"/>
      <c r="N88" s="610"/>
      <c r="O88" s="611"/>
      <c r="Q88" s="609" t="str">
        <f>Lan!F45</f>
        <v>Objetivos</v>
      </c>
      <c r="R88" s="610"/>
      <c r="S88" s="610"/>
      <c r="T88" s="610"/>
      <c r="U88" s="610"/>
      <c r="V88" s="611"/>
      <c r="W88" s="160"/>
      <c r="X88" s="106"/>
      <c r="Y88" s="106"/>
      <c r="Z88" s="106"/>
      <c r="AA88" s="106"/>
      <c r="AB88" s="106"/>
      <c r="AC88" s="106"/>
      <c r="AD88" s="106"/>
      <c r="AE88" s="106"/>
      <c r="AF88" s="106"/>
      <c r="AG88" s="106"/>
      <c r="AH88" s="106"/>
      <c r="AI88" s="106"/>
    </row>
    <row r="89" spans="1:35" ht="20" customHeight="1">
      <c r="A89" s="165"/>
      <c r="C89" s="608" t="str">
        <f>IF('O4'!B12="","",'O4'!B12)</f>
        <v>Obtener la certificación de Buenas Prácticas de Manufactura antes de noviembre de 2026.</v>
      </c>
      <c r="D89" s="608"/>
      <c r="E89" s="608"/>
      <c r="F89" s="608"/>
      <c r="G89" s="608"/>
      <c r="H89" s="608"/>
      <c r="I89" s="241"/>
      <c r="J89" s="608" t="str">
        <f>IF('O5'!B12="","",'O5'!B12)</f>
        <v>Lanzar una tienda en línea funcional antes de marzo de 2026.</v>
      </c>
      <c r="K89" s="608"/>
      <c r="L89" s="608"/>
      <c r="M89" s="608"/>
      <c r="N89" s="608"/>
      <c r="O89" s="608"/>
      <c r="P89" s="242"/>
      <c r="Q89" s="608" t="str">
        <f>IF('O6'!B12="","",'O6'!B12)</f>
        <v>Implementar un plan anual de capacitación para todos los colaboradores antes de enero de 2026.</v>
      </c>
      <c r="R89" s="608"/>
      <c r="S89" s="608"/>
      <c r="T89" s="608"/>
      <c r="U89" s="608"/>
      <c r="V89" s="608"/>
      <c r="W89" s="160"/>
      <c r="X89" s="106"/>
      <c r="Y89" s="106"/>
      <c r="Z89" s="106"/>
      <c r="AA89" s="106"/>
      <c r="AB89" s="106"/>
      <c r="AC89" s="106"/>
      <c r="AD89" s="106"/>
      <c r="AE89" s="106"/>
      <c r="AF89" s="106"/>
      <c r="AG89" s="106"/>
      <c r="AH89" s="106"/>
      <c r="AI89" s="106"/>
    </row>
    <row r="90" spans="1:35" ht="20" customHeight="1">
      <c r="A90" s="165"/>
      <c r="C90" s="608" t="str">
        <f>IF('O4'!B13="","",'O4'!B13)</f>
        <v>Reducir en 50% las devoluciones por defectos en producto para diciembre de 2025.</v>
      </c>
      <c r="D90" s="608"/>
      <c r="E90" s="608"/>
      <c r="F90" s="608"/>
      <c r="G90" s="608"/>
      <c r="H90" s="608"/>
      <c r="I90" s="241"/>
      <c r="J90" s="608" t="str">
        <f>IF('O5'!B13="","",'O5'!B13)</f>
        <v>Generar $1,000,000 MXN en ventas digitales acumuladas para diciembre de 2026.</v>
      </c>
      <c r="K90" s="608"/>
      <c r="L90" s="608"/>
      <c r="M90" s="608"/>
      <c r="N90" s="608"/>
      <c r="O90" s="608"/>
      <c r="P90" s="242"/>
      <c r="Q90" s="608" t="str">
        <f>IF('O6'!B13="","",'O6'!B13)</f>
        <v>Lograr que el 80% del personal operativo participe en al menos una capacitación al año.</v>
      </c>
      <c r="R90" s="608"/>
      <c r="S90" s="608"/>
      <c r="T90" s="608"/>
      <c r="U90" s="608"/>
      <c r="V90" s="608"/>
      <c r="W90" s="160"/>
      <c r="X90" s="106"/>
      <c r="Y90" s="106"/>
      <c r="Z90" s="106"/>
      <c r="AA90" s="106"/>
      <c r="AB90" s="106"/>
      <c r="AC90" s="106"/>
      <c r="AD90" s="106"/>
      <c r="AE90" s="106"/>
      <c r="AF90" s="106"/>
      <c r="AG90" s="106"/>
      <c r="AH90" s="106"/>
      <c r="AI90" s="106"/>
    </row>
    <row r="91" spans="1:35" ht="20" customHeight="1">
      <c r="A91" s="165"/>
      <c r="C91" s="608" t="str">
        <f>IF('O4'!B14="","",'O4'!B14)</f>
        <v/>
      </c>
      <c r="D91" s="608"/>
      <c r="E91" s="608"/>
      <c r="F91" s="608"/>
      <c r="G91" s="608"/>
      <c r="H91" s="608"/>
      <c r="I91" s="241"/>
      <c r="J91" s="608" t="str">
        <f>IF('O5'!B14="","",'O5'!B14)</f>
        <v/>
      </c>
      <c r="K91" s="608"/>
      <c r="L91" s="608"/>
      <c r="M91" s="608"/>
      <c r="N91" s="608"/>
      <c r="O91" s="608"/>
      <c r="P91" s="242"/>
      <c r="Q91" s="608" t="str">
        <f>IF('O6'!B14="","",'O6'!B14)</f>
        <v/>
      </c>
      <c r="R91" s="608"/>
      <c r="S91" s="608"/>
      <c r="T91" s="608"/>
      <c r="U91" s="608"/>
      <c r="V91" s="608"/>
      <c r="W91" s="160"/>
      <c r="X91" s="106"/>
      <c r="Y91" s="106"/>
      <c r="Z91" s="106"/>
      <c r="AA91" s="106"/>
      <c r="AB91" s="106"/>
      <c r="AC91" s="106"/>
      <c r="AD91" s="106"/>
      <c r="AE91" s="106"/>
      <c r="AF91" s="106"/>
      <c r="AG91" s="106"/>
      <c r="AH91" s="106"/>
      <c r="AI91" s="106"/>
    </row>
    <row r="92" spans="1:35" ht="20" customHeight="1">
      <c r="A92" s="165"/>
      <c r="C92" s="608" t="str">
        <f>IF('O4'!B15="","",'O4'!B15)</f>
        <v/>
      </c>
      <c r="D92" s="608"/>
      <c r="E92" s="608"/>
      <c r="F92" s="608"/>
      <c r="G92" s="608"/>
      <c r="H92" s="608"/>
      <c r="I92" s="241"/>
      <c r="J92" s="608" t="str">
        <f>IF('O5'!B15="","",'O5'!B15)</f>
        <v/>
      </c>
      <c r="K92" s="608"/>
      <c r="L92" s="608"/>
      <c r="M92" s="608"/>
      <c r="N92" s="608"/>
      <c r="O92" s="608"/>
      <c r="P92" s="242"/>
      <c r="Q92" s="608" t="str">
        <f>IF('O6'!B15="","",'O6'!B15)</f>
        <v/>
      </c>
      <c r="R92" s="608"/>
      <c r="S92" s="608"/>
      <c r="T92" s="608"/>
      <c r="U92" s="608"/>
      <c r="V92" s="608"/>
      <c r="W92" s="160"/>
      <c r="X92" s="106"/>
      <c r="Y92" s="106"/>
      <c r="Z92" s="106"/>
      <c r="AA92" s="106"/>
      <c r="AB92" s="106"/>
      <c r="AC92" s="106"/>
      <c r="AD92" s="106"/>
      <c r="AE92" s="106"/>
      <c r="AF92" s="106"/>
      <c r="AG92" s="106"/>
      <c r="AH92" s="106"/>
      <c r="AI92" s="106"/>
    </row>
    <row r="93" spans="1:35" ht="20" customHeight="1">
      <c r="A93" s="165"/>
      <c r="C93" s="608" t="str">
        <f>IF('O4'!B16="","",'O4'!B16)</f>
        <v/>
      </c>
      <c r="D93" s="608"/>
      <c r="E93" s="608"/>
      <c r="F93" s="608"/>
      <c r="G93" s="608"/>
      <c r="H93" s="608"/>
      <c r="I93" s="241"/>
      <c r="J93" s="608" t="str">
        <f>IF('O5'!B16="","",'O5'!B16)</f>
        <v/>
      </c>
      <c r="K93" s="608"/>
      <c r="L93" s="608"/>
      <c r="M93" s="608"/>
      <c r="N93" s="608"/>
      <c r="O93" s="608"/>
      <c r="P93" s="242"/>
      <c r="Q93" s="608" t="str">
        <f>IF('O6'!B16="","",'O6'!B16)</f>
        <v/>
      </c>
      <c r="R93" s="608"/>
      <c r="S93" s="608"/>
      <c r="T93" s="608"/>
      <c r="U93" s="608"/>
      <c r="V93" s="608"/>
      <c r="W93" s="160"/>
      <c r="X93" s="106"/>
      <c r="Y93" s="106"/>
      <c r="Z93" s="106"/>
      <c r="AA93" s="106"/>
      <c r="AB93" s="106"/>
      <c r="AC93" s="106"/>
      <c r="AD93" s="106"/>
      <c r="AE93" s="106"/>
      <c r="AF93" s="106"/>
      <c r="AG93" s="106"/>
      <c r="AH93" s="106"/>
      <c r="AI93" s="106"/>
    </row>
    <row r="94" spans="1:35" ht="20" customHeight="1">
      <c r="A94" s="165"/>
      <c r="C94" s="608" t="str">
        <f>IF('O4'!B17="","",'O4'!B17)</f>
        <v/>
      </c>
      <c r="D94" s="608"/>
      <c r="E94" s="608"/>
      <c r="F94" s="608"/>
      <c r="G94" s="608"/>
      <c r="H94" s="608"/>
      <c r="I94" s="241"/>
      <c r="J94" s="608" t="str">
        <f>IF('O5'!B17="","",'O5'!B17)</f>
        <v/>
      </c>
      <c r="K94" s="608"/>
      <c r="L94" s="608"/>
      <c r="M94" s="608"/>
      <c r="N94" s="608"/>
      <c r="O94" s="608"/>
      <c r="P94" s="242"/>
      <c r="Q94" s="608" t="str">
        <f>IF('O6'!B17="","",'O6'!B17)</f>
        <v/>
      </c>
      <c r="R94" s="608"/>
      <c r="S94" s="608"/>
      <c r="T94" s="608"/>
      <c r="U94" s="608"/>
      <c r="V94" s="608"/>
      <c r="W94" s="160"/>
      <c r="X94" s="106"/>
      <c r="Y94" s="106"/>
      <c r="Z94" s="106"/>
      <c r="AA94" s="106"/>
      <c r="AB94" s="106"/>
      <c r="AC94" s="106"/>
      <c r="AD94" s="106"/>
      <c r="AE94" s="106"/>
      <c r="AF94" s="106"/>
      <c r="AG94" s="106"/>
      <c r="AH94" s="106"/>
      <c r="AI94" s="106"/>
    </row>
    <row r="95" spans="1:35" ht="20" customHeight="1">
      <c r="A95" s="165"/>
      <c r="C95" s="608" t="str">
        <f>IF('O4'!B18="","",'O4'!B18)</f>
        <v/>
      </c>
      <c r="D95" s="608"/>
      <c r="E95" s="608"/>
      <c r="F95" s="608"/>
      <c r="G95" s="608"/>
      <c r="H95" s="608"/>
      <c r="I95" s="241"/>
      <c r="J95" s="608" t="str">
        <f>IF('O5'!B18="","",'O5'!B18)</f>
        <v/>
      </c>
      <c r="K95" s="608"/>
      <c r="L95" s="608"/>
      <c r="M95" s="608"/>
      <c r="N95" s="608"/>
      <c r="O95" s="608"/>
      <c r="P95" s="242"/>
      <c r="Q95" s="608" t="str">
        <f>IF('O6'!B18="","",'O6'!B18)</f>
        <v/>
      </c>
      <c r="R95" s="608"/>
      <c r="S95" s="608"/>
      <c r="T95" s="608"/>
      <c r="U95" s="608"/>
      <c r="V95" s="608"/>
      <c r="W95" s="160"/>
      <c r="X95" s="106"/>
      <c r="Y95" s="106"/>
      <c r="Z95" s="106"/>
      <c r="AA95" s="106"/>
      <c r="AB95" s="106"/>
      <c r="AC95" s="106"/>
      <c r="AD95" s="106"/>
      <c r="AE95" s="106"/>
      <c r="AF95" s="106"/>
      <c r="AG95" s="106"/>
      <c r="AH95" s="106"/>
      <c r="AI95" s="106"/>
    </row>
    <row r="96" spans="1:35" ht="20" customHeight="1">
      <c r="A96" s="165"/>
      <c r="C96" s="608" t="str">
        <f>IF('O4'!B19="","",'O4'!B19)</f>
        <v/>
      </c>
      <c r="D96" s="608"/>
      <c r="E96" s="608"/>
      <c r="F96" s="608"/>
      <c r="G96" s="608"/>
      <c r="H96" s="608"/>
      <c r="I96" s="241"/>
      <c r="J96" s="608" t="str">
        <f>IF('O5'!B19="","",'O5'!B19)</f>
        <v/>
      </c>
      <c r="K96" s="608"/>
      <c r="L96" s="608"/>
      <c r="M96" s="608"/>
      <c r="N96" s="608"/>
      <c r="O96" s="608"/>
      <c r="P96" s="242"/>
      <c r="Q96" s="608" t="str">
        <f>IF('O6'!B19="","",'O6'!B19)</f>
        <v/>
      </c>
      <c r="R96" s="608"/>
      <c r="S96" s="608"/>
      <c r="T96" s="608"/>
      <c r="U96" s="608"/>
      <c r="V96" s="608"/>
      <c r="W96" s="160"/>
      <c r="X96" s="106"/>
      <c r="Y96" s="106"/>
      <c r="Z96" s="106"/>
      <c r="AA96" s="106"/>
      <c r="AB96" s="106"/>
      <c r="AC96" s="106"/>
      <c r="AD96" s="106"/>
      <c r="AE96" s="106"/>
      <c r="AF96" s="106"/>
      <c r="AG96" s="106"/>
      <c r="AH96" s="106"/>
      <c r="AI96" s="106"/>
    </row>
    <row r="97" spans="1:35" ht="20" customHeight="1">
      <c r="A97" s="165"/>
      <c r="C97" s="608" t="str">
        <f>IF('O4'!B20="","",'O4'!B20)</f>
        <v/>
      </c>
      <c r="D97" s="608"/>
      <c r="E97" s="608"/>
      <c r="F97" s="608"/>
      <c r="G97" s="608"/>
      <c r="H97" s="608"/>
      <c r="I97" s="241"/>
      <c r="J97" s="608" t="str">
        <f>IF('O5'!B20="","",'O5'!B20)</f>
        <v/>
      </c>
      <c r="K97" s="608"/>
      <c r="L97" s="608"/>
      <c r="M97" s="608"/>
      <c r="N97" s="608"/>
      <c r="O97" s="608"/>
      <c r="P97" s="242"/>
      <c r="Q97" s="608" t="str">
        <f>IF('O6'!B20="","",'O6'!B20)</f>
        <v/>
      </c>
      <c r="R97" s="608"/>
      <c r="S97" s="608"/>
      <c r="T97" s="608"/>
      <c r="U97" s="608"/>
      <c r="V97" s="608"/>
      <c r="W97" s="160"/>
      <c r="X97" s="106"/>
      <c r="Y97" s="106"/>
      <c r="Z97" s="106"/>
      <c r="AA97" s="106"/>
      <c r="AB97" s="106"/>
      <c r="AC97" s="106"/>
      <c r="AD97" s="106"/>
      <c r="AE97" s="106"/>
      <c r="AF97" s="106"/>
      <c r="AG97" s="106"/>
      <c r="AH97" s="106"/>
      <c r="AI97" s="106"/>
    </row>
    <row r="98" spans="1:35" ht="20" customHeight="1">
      <c r="A98" s="165"/>
      <c r="C98" s="607" t="str">
        <f>IF('O4'!B21="","",'O4'!B21)</f>
        <v/>
      </c>
      <c r="D98" s="607"/>
      <c r="E98" s="607"/>
      <c r="F98" s="607"/>
      <c r="G98" s="607"/>
      <c r="H98" s="607"/>
      <c r="I98" s="241"/>
      <c r="J98" s="607" t="str">
        <f>IF('O5'!B21="","",'O5'!B21)</f>
        <v/>
      </c>
      <c r="K98" s="607"/>
      <c r="L98" s="607"/>
      <c r="M98" s="607"/>
      <c r="N98" s="607"/>
      <c r="O98" s="607"/>
      <c r="P98" s="242"/>
      <c r="Q98" s="607" t="str">
        <f>IF('O6'!B21="","",'O6'!B21)</f>
        <v/>
      </c>
      <c r="R98" s="607"/>
      <c r="S98" s="607"/>
      <c r="T98" s="607"/>
      <c r="U98" s="607"/>
      <c r="V98" s="607"/>
      <c r="W98" s="160"/>
      <c r="X98" s="106"/>
      <c r="Y98" s="106"/>
      <c r="Z98" s="106"/>
      <c r="AA98" s="106"/>
      <c r="AB98" s="106"/>
      <c r="AC98" s="106"/>
      <c r="AD98" s="106"/>
      <c r="AE98" s="106"/>
      <c r="AF98" s="106"/>
      <c r="AG98" s="106"/>
      <c r="AH98" s="106"/>
      <c r="AI98" s="106"/>
    </row>
    <row r="99" spans="1:35" ht="20" customHeight="1">
      <c r="A99" s="165"/>
      <c r="W99" s="160"/>
      <c r="X99" s="106"/>
      <c r="Y99" s="106"/>
      <c r="Z99" s="106"/>
      <c r="AA99" s="106"/>
      <c r="AB99" s="106"/>
      <c r="AC99" s="106"/>
      <c r="AD99" s="106"/>
      <c r="AE99" s="106"/>
      <c r="AF99" s="106"/>
      <c r="AG99" s="106"/>
      <c r="AH99" s="106"/>
      <c r="AI99" s="106"/>
    </row>
    <row r="100" spans="1:35" ht="20" customHeight="1">
      <c r="A100" s="165"/>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06"/>
      <c r="Y100" s="106"/>
      <c r="Z100" s="106"/>
      <c r="AA100" s="106"/>
      <c r="AB100" s="106"/>
      <c r="AC100" s="106"/>
      <c r="AD100" s="106"/>
      <c r="AE100" s="106"/>
      <c r="AF100" s="106"/>
      <c r="AG100" s="106"/>
      <c r="AH100" s="106"/>
      <c r="AI100" s="106"/>
    </row>
    <row r="101" spans="1:35" ht="20" customHeight="1">
      <c r="A101" s="165"/>
      <c r="B101" s="160"/>
      <c r="C101" s="161"/>
      <c r="D101" s="160"/>
      <c r="E101" s="160"/>
      <c r="F101" s="160"/>
      <c r="G101" s="160"/>
      <c r="H101" s="160"/>
      <c r="I101" s="160"/>
      <c r="J101" s="160"/>
      <c r="K101" s="160"/>
      <c r="L101" s="162">
        <f>AuxP!D2</f>
        <v>0.9</v>
      </c>
      <c r="M101" s="163"/>
      <c r="N101" s="163"/>
      <c r="O101" s="163"/>
      <c r="P101" s="163"/>
      <c r="Q101" s="163"/>
      <c r="R101" s="162">
        <f>AGoal!Y8</f>
        <v>1</v>
      </c>
      <c r="S101" s="160"/>
      <c r="T101" s="160"/>
      <c r="U101" s="160"/>
      <c r="V101" s="160"/>
      <c r="W101" s="160"/>
      <c r="X101" s="106"/>
      <c r="Y101" s="106"/>
      <c r="Z101" s="106"/>
      <c r="AA101" s="106"/>
      <c r="AB101" s="106"/>
      <c r="AC101" s="106"/>
      <c r="AD101" s="106"/>
      <c r="AE101" s="106"/>
      <c r="AF101" s="106"/>
      <c r="AG101" s="106"/>
      <c r="AH101" s="106"/>
      <c r="AI101" s="106"/>
    </row>
    <row r="102" spans="1:35" ht="20" customHeight="1">
      <c r="A102" s="165"/>
      <c r="B102" s="160"/>
      <c r="C102" s="160"/>
      <c r="D102" s="160"/>
      <c r="E102" s="160"/>
      <c r="F102" s="160"/>
      <c r="G102" s="160"/>
      <c r="H102" s="160"/>
      <c r="I102" s="160"/>
      <c r="J102" s="160"/>
      <c r="K102" s="160"/>
      <c r="L102" s="163"/>
      <c r="M102" s="163"/>
      <c r="N102" s="163"/>
      <c r="O102" s="163"/>
      <c r="P102" s="163"/>
      <c r="Q102" s="163"/>
      <c r="R102" s="162">
        <f>AGoal!Y9</f>
        <v>0.7</v>
      </c>
      <c r="S102" s="160"/>
      <c r="T102" s="160"/>
      <c r="U102" s="160"/>
      <c r="V102" s="160"/>
      <c r="W102" s="160"/>
      <c r="X102" s="106"/>
      <c r="Y102" s="106"/>
      <c r="Z102" s="106"/>
      <c r="AA102" s="106"/>
      <c r="AB102" s="106"/>
      <c r="AC102" s="106"/>
      <c r="AD102" s="106"/>
      <c r="AE102" s="106"/>
      <c r="AF102" s="106"/>
      <c r="AG102" s="106"/>
      <c r="AH102" s="106"/>
      <c r="AI102" s="106"/>
    </row>
    <row r="103" spans="1:35" ht="20" customHeight="1">
      <c r="A103" s="165"/>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06"/>
      <c r="Y103" s="106"/>
      <c r="Z103" s="106"/>
      <c r="AA103" s="106"/>
      <c r="AB103" s="106"/>
      <c r="AC103" s="106"/>
      <c r="AD103" s="106"/>
      <c r="AE103" s="106"/>
      <c r="AF103" s="106"/>
      <c r="AG103" s="106"/>
      <c r="AH103" s="106"/>
      <c r="AI103" s="106"/>
    </row>
    <row r="104" spans="1:35" s="243" customFormat="1" ht="20" customHeight="1">
      <c r="A104" s="389"/>
      <c r="C104" s="604" t="str">
        <f>Lan!F38</f>
        <v>Metas estratégicas</v>
      </c>
      <c r="D104" s="604"/>
      <c r="E104" s="604"/>
      <c r="F104" s="604"/>
      <c r="G104" s="604"/>
      <c r="H104" s="586" t="str">
        <f>Lan!$F$92</f>
        <v>Total Metas</v>
      </c>
      <c r="I104" s="586" t="str">
        <f>Lan!$F$93</f>
        <v>Metas alcanzados</v>
      </c>
      <c r="J104" s="586"/>
      <c r="K104" s="586" t="str">
        <f>Lan!$F$95</f>
        <v>Metas en peligro</v>
      </c>
      <c r="L104" s="586" t="str">
        <f>Lan!$F$96</f>
        <v>% Metas en peligro</v>
      </c>
      <c r="M104" s="586" t="str">
        <f>Lan!$F$102</f>
        <v>Promedio Metas alcanzadas</v>
      </c>
      <c r="N104" s="599" t="str">
        <f>Lan!$F$70</f>
        <v>Status</v>
      </c>
      <c r="O104" s="584">
        <f>APDashboard!B16</f>
        <v>0</v>
      </c>
      <c r="P104" s="586">
        <f>APDashboard!H16</f>
        <v>0</v>
      </c>
      <c r="Q104" s="586"/>
      <c r="R104" s="586">
        <f>APDashboard!K16</f>
        <v>0</v>
      </c>
      <c r="S104" s="586">
        <f>APDashboard!E16</f>
        <v>0</v>
      </c>
      <c r="T104" s="586" t="s">
        <v>164</v>
      </c>
      <c r="U104" s="244"/>
      <c r="V104" s="244"/>
      <c r="W104" s="244"/>
      <c r="X104" s="389"/>
      <c r="Y104" s="389"/>
      <c r="Z104" s="389"/>
      <c r="AA104" s="389"/>
      <c r="AB104" s="389"/>
      <c r="AC104" s="389"/>
      <c r="AD104" s="389"/>
      <c r="AE104" s="389"/>
      <c r="AF104" s="389"/>
      <c r="AG104" s="389"/>
      <c r="AH104" s="389"/>
      <c r="AI104" s="389"/>
    </row>
    <row r="105" spans="1:35" s="243" customFormat="1" ht="20" customHeight="1" thickBot="1">
      <c r="A105" s="389"/>
      <c r="C105" s="605"/>
      <c r="D105" s="605"/>
      <c r="E105" s="605"/>
      <c r="F105" s="605"/>
      <c r="G105" s="605"/>
      <c r="H105" s="587"/>
      <c r="I105" s="587"/>
      <c r="J105" s="587"/>
      <c r="K105" s="587"/>
      <c r="L105" s="587"/>
      <c r="M105" s="587"/>
      <c r="N105" s="600"/>
      <c r="O105" s="585"/>
      <c r="P105" s="587"/>
      <c r="Q105" s="587"/>
      <c r="R105" s="587"/>
      <c r="S105" s="587"/>
      <c r="T105" s="587"/>
      <c r="U105" s="244"/>
      <c r="V105" s="244"/>
      <c r="W105" s="244"/>
      <c r="X105" s="389"/>
      <c r="Y105" s="389"/>
      <c r="Z105" s="389"/>
      <c r="AA105" s="389"/>
      <c r="AB105" s="389"/>
      <c r="AC105" s="389"/>
      <c r="AD105" s="389"/>
      <c r="AE105" s="389"/>
      <c r="AF105" s="389"/>
      <c r="AG105" s="389"/>
      <c r="AH105" s="389"/>
      <c r="AI105" s="389"/>
    </row>
    <row r="106" spans="1:35" ht="20" customHeight="1">
      <c r="A106" s="165"/>
      <c r="C106" s="603" t="str">
        <f>SGoal!B9</f>
        <v>Expandir la presencia nacional de Caracolitos mediante la apertura de nuevas sucursales.</v>
      </c>
      <c r="D106" s="603"/>
      <c r="E106" s="603"/>
      <c r="F106" s="603"/>
      <c r="G106" s="603"/>
      <c r="H106" s="594">
        <f>K106+I106</f>
        <v>1</v>
      </c>
      <c r="I106" s="594">
        <f>AuxP!D11</f>
        <v>1</v>
      </c>
      <c r="J106" s="594"/>
      <c r="K106" s="606">
        <f>AuxP!E11</f>
        <v>0</v>
      </c>
      <c r="L106" s="573">
        <f>IFERROR(I106/H106,0)</f>
        <v>1</v>
      </c>
      <c r="M106" s="601">
        <f>AuxP!F11</f>
        <v>1.1042345276872965</v>
      </c>
      <c r="N106" s="602" t="str">
        <f>IF(H106&gt;0,"●","")</f>
        <v>●</v>
      </c>
      <c r="O106" s="593">
        <f>SUM(AuxPlan!E4:E13)</f>
        <v>1</v>
      </c>
      <c r="P106" s="594">
        <f ca="1">SUM(AuxPlan!I4:I13)</f>
        <v>0</v>
      </c>
      <c r="Q106" s="594"/>
      <c r="R106" s="573">
        <f ca="1">IFERROR(P106/O106,0)</f>
        <v>0</v>
      </c>
      <c r="S106" s="588">
        <f ca="1">IFERROR(AVERAGE(AuxPlan!J4:J13),0)</f>
        <v>0.2</v>
      </c>
      <c r="T106" s="583" t="str">
        <f>IF(H106&gt;0,"●","")</f>
        <v>●</v>
      </c>
      <c r="X106" s="106"/>
      <c r="Y106" s="106"/>
      <c r="Z106" s="106"/>
      <c r="AA106" s="106"/>
      <c r="AB106" s="106"/>
      <c r="AC106" s="106"/>
      <c r="AD106" s="106"/>
      <c r="AE106" s="106"/>
      <c r="AF106" s="106"/>
      <c r="AG106" s="106"/>
      <c r="AH106" s="106"/>
      <c r="AI106" s="106"/>
    </row>
    <row r="107" spans="1:35" ht="20" customHeight="1">
      <c r="A107" s="165"/>
      <c r="C107" s="595"/>
      <c r="D107" s="595"/>
      <c r="E107" s="595"/>
      <c r="F107" s="595"/>
      <c r="G107" s="595"/>
      <c r="H107" s="577"/>
      <c r="I107" s="577"/>
      <c r="J107" s="577"/>
      <c r="K107" s="572"/>
      <c r="L107" s="574"/>
      <c r="M107" s="589"/>
      <c r="N107" s="591"/>
      <c r="O107" s="582"/>
      <c r="P107" s="577"/>
      <c r="Q107" s="577"/>
      <c r="R107" s="574"/>
      <c r="S107" s="579"/>
      <c r="T107" s="575"/>
      <c r="X107" s="106"/>
      <c r="Y107" s="106"/>
      <c r="Z107" s="106"/>
      <c r="AA107" s="106"/>
      <c r="AB107" s="106"/>
      <c r="AC107" s="106"/>
      <c r="AD107" s="106"/>
      <c r="AE107" s="106"/>
      <c r="AF107" s="106"/>
      <c r="AG107" s="106"/>
      <c r="AH107" s="106"/>
      <c r="AI107" s="106"/>
    </row>
    <row r="108" spans="1:35" ht="20" customHeight="1">
      <c r="A108" s="165"/>
      <c r="C108" s="595" t="str">
        <f>SGoal!J9</f>
        <v>Mejorar la productividad de los procesos operativos en planta.</v>
      </c>
      <c r="D108" s="595"/>
      <c r="E108" s="595"/>
      <c r="F108" s="595"/>
      <c r="G108" s="595"/>
      <c r="H108" s="577">
        <f>K108+I108</f>
        <v>1</v>
      </c>
      <c r="I108" s="577">
        <f>AuxP!D12</f>
        <v>0</v>
      </c>
      <c r="J108" s="577"/>
      <c r="K108" s="572">
        <f>AuxP!E12</f>
        <v>1</v>
      </c>
      <c r="L108" s="574">
        <f>IFERROR(I108/H108,0)</f>
        <v>0</v>
      </c>
      <c r="M108" s="589">
        <f>AuxP!F12</f>
        <v>0.60000000000000009</v>
      </c>
      <c r="N108" s="591" t="str">
        <f>IF(H108&gt;0,"●","")</f>
        <v>●</v>
      </c>
      <c r="O108" s="582">
        <f>SUM(AuxPlan!E14:E23)</f>
        <v>1</v>
      </c>
      <c r="P108" s="577">
        <f ca="1">SUM(AuxPlan!I14:I23)</f>
        <v>0</v>
      </c>
      <c r="Q108" s="577"/>
      <c r="R108" s="574">
        <f t="shared" ref="R108" ca="1" si="0">IFERROR(P108/O108,0)</f>
        <v>0</v>
      </c>
      <c r="S108" s="579">
        <f ca="1">IFERROR(AVERAGE(AuxPlan!J14:J23),0)</f>
        <v>0</v>
      </c>
      <c r="T108" s="575" t="str">
        <f>IF(H108&gt;0,"●","")</f>
        <v>●</v>
      </c>
      <c r="X108" s="106"/>
      <c r="Y108" s="106"/>
      <c r="Z108" s="106"/>
      <c r="AA108" s="106"/>
      <c r="AB108" s="106"/>
      <c r="AC108" s="106"/>
      <c r="AD108" s="106"/>
      <c r="AE108" s="106"/>
      <c r="AF108" s="106"/>
      <c r="AG108" s="106"/>
      <c r="AH108" s="106"/>
      <c r="AI108" s="106"/>
    </row>
    <row r="109" spans="1:35" ht="20" customHeight="1">
      <c r="A109" s="165"/>
      <c r="C109" s="595"/>
      <c r="D109" s="595"/>
      <c r="E109" s="595"/>
      <c r="F109" s="595"/>
      <c r="G109" s="595"/>
      <c r="H109" s="577"/>
      <c r="I109" s="577"/>
      <c r="J109" s="577"/>
      <c r="K109" s="572"/>
      <c r="L109" s="574"/>
      <c r="M109" s="589"/>
      <c r="N109" s="591"/>
      <c r="O109" s="582"/>
      <c r="P109" s="577"/>
      <c r="Q109" s="577"/>
      <c r="R109" s="574"/>
      <c r="S109" s="579"/>
      <c r="T109" s="575"/>
      <c r="X109" s="106"/>
      <c r="Y109" s="106"/>
      <c r="Z109" s="106"/>
      <c r="AA109" s="106"/>
      <c r="AB109" s="106"/>
      <c r="AC109" s="106"/>
      <c r="AD109" s="106"/>
      <c r="AE109" s="106"/>
      <c r="AF109" s="106"/>
      <c r="AG109" s="106"/>
      <c r="AH109" s="106"/>
      <c r="AI109" s="106"/>
    </row>
    <row r="110" spans="1:35" ht="20" customHeight="1">
      <c r="A110" s="165"/>
      <c r="C110" s="595" t="str">
        <f>SGoal!B24</f>
        <v>Fortalecer el posicionamiento de la marca Caracolitos a nivel nacional.</v>
      </c>
      <c r="D110" s="595"/>
      <c r="E110" s="595"/>
      <c r="F110" s="595"/>
      <c r="G110" s="595"/>
      <c r="H110" s="577">
        <f>K110+I110</f>
        <v>2</v>
      </c>
      <c r="I110" s="577">
        <f>AuxP!D13</f>
        <v>2</v>
      </c>
      <c r="J110" s="577"/>
      <c r="K110" s="572">
        <f>AuxP!E13</f>
        <v>0</v>
      </c>
      <c r="L110" s="574">
        <f>IFERROR(I110/H110,0)</f>
        <v>1</v>
      </c>
      <c r="M110" s="589">
        <f>AuxP!F13</f>
        <v>1.2157333333333333</v>
      </c>
      <c r="N110" s="591" t="str">
        <f>IF(H110&gt;0,"●","")</f>
        <v>●</v>
      </c>
      <c r="O110" s="582">
        <f>SUM(AuxPlan!E24:E33)</f>
        <v>2</v>
      </c>
      <c r="P110" s="577">
        <f ca="1">SUM(AuxPlan!I24:I33)</f>
        <v>0</v>
      </c>
      <c r="Q110" s="577"/>
      <c r="R110" s="574">
        <f t="shared" ref="R110" ca="1" si="1">IFERROR(P110/O110,0)</f>
        <v>0</v>
      </c>
      <c r="S110" s="579">
        <f ca="1">IFERROR(AVERAGE(AuxPlan!J24:J133),0)</f>
        <v>0.45</v>
      </c>
      <c r="T110" s="575" t="str">
        <f>IF(H110&gt;0,"●","")</f>
        <v>●</v>
      </c>
      <c r="X110" s="106"/>
      <c r="Y110" s="106"/>
      <c r="Z110" s="106"/>
      <c r="AA110" s="106"/>
      <c r="AB110" s="106"/>
      <c r="AC110" s="106"/>
      <c r="AD110" s="106"/>
      <c r="AE110" s="106"/>
      <c r="AF110" s="106"/>
      <c r="AG110" s="106"/>
      <c r="AH110" s="106"/>
      <c r="AI110" s="106"/>
    </row>
    <row r="111" spans="1:35" ht="20" customHeight="1">
      <c r="A111" s="165"/>
      <c r="C111" s="595"/>
      <c r="D111" s="595"/>
      <c r="E111" s="595"/>
      <c r="F111" s="595"/>
      <c r="G111" s="595"/>
      <c r="H111" s="577"/>
      <c r="I111" s="577"/>
      <c r="J111" s="577"/>
      <c r="K111" s="572"/>
      <c r="L111" s="574"/>
      <c r="M111" s="589"/>
      <c r="N111" s="591"/>
      <c r="O111" s="582"/>
      <c r="P111" s="577"/>
      <c r="Q111" s="577"/>
      <c r="R111" s="574"/>
      <c r="S111" s="579"/>
      <c r="T111" s="575"/>
      <c r="X111" s="106"/>
      <c r="Y111" s="106"/>
      <c r="Z111" s="106"/>
      <c r="AA111" s="106"/>
      <c r="AB111" s="106"/>
      <c r="AC111" s="106"/>
      <c r="AD111" s="106"/>
      <c r="AE111" s="106"/>
      <c r="AF111" s="106"/>
      <c r="AG111" s="106"/>
      <c r="AH111" s="106"/>
      <c r="AI111" s="106"/>
    </row>
    <row r="112" spans="1:35" ht="20" customHeight="1">
      <c r="A112" s="165"/>
      <c r="C112" s="595" t="str">
        <f>SGoal!J24</f>
        <v>Asegurar la calidad e inocuidad de los productos en todos los procesos de la planta.</v>
      </c>
      <c r="D112" s="595"/>
      <c r="E112" s="595"/>
      <c r="F112" s="595"/>
      <c r="G112" s="595"/>
      <c r="H112" s="577">
        <f>K112+I112</f>
        <v>2</v>
      </c>
      <c r="I112" s="577">
        <f>AuxP!D14</f>
        <v>1</v>
      </c>
      <c r="J112" s="577"/>
      <c r="K112" s="572">
        <f>AuxP!E14</f>
        <v>1</v>
      </c>
      <c r="L112" s="574">
        <f>IFERROR(I112/H112,0)</f>
        <v>0.5</v>
      </c>
      <c r="M112" s="589">
        <f>AuxP!F14</f>
        <v>0.78333333333333321</v>
      </c>
      <c r="N112" s="591" t="str">
        <f>IF(H112&gt;0,"●","")</f>
        <v>●</v>
      </c>
      <c r="O112" s="582">
        <f>SUM(AuxPlan!E34:E43)</f>
        <v>0</v>
      </c>
      <c r="P112" s="577">
        <f ca="1">SUM(AuxPlan!I34:I43)</f>
        <v>0</v>
      </c>
      <c r="Q112" s="577"/>
      <c r="R112" s="574">
        <f t="shared" ref="R112" ca="1" si="2">IFERROR(P112/O112,0)</f>
        <v>0</v>
      </c>
      <c r="S112" s="579">
        <f ca="1">IFERROR(AVERAGE(AuxPlan!J34:J43),0)</f>
        <v>0</v>
      </c>
      <c r="T112" s="575" t="str">
        <f>IF(H112&gt;0,"●","")</f>
        <v>●</v>
      </c>
      <c r="X112" s="106"/>
      <c r="Y112" s="106"/>
      <c r="Z112" s="106"/>
      <c r="AA112" s="106"/>
      <c r="AB112" s="106"/>
      <c r="AC112" s="106"/>
      <c r="AD112" s="106"/>
      <c r="AE112" s="106"/>
      <c r="AF112" s="106"/>
      <c r="AG112" s="106"/>
      <c r="AH112" s="106"/>
      <c r="AI112" s="106"/>
    </row>
    <row r="113" spans="1:35" ht="20" customHeight="1">
      <c r="A113" s="165"/>
      <c r="C113" s="595"/>
      <c r="D113" s="595"/>
      <c r="E113" s="595"/>
      <c r="F113" s="595"/>
      <c r="G113" s="595"/>
      <c r="H113" s="577"/>
      <c r="I113" s="577"/>
      <c r="J113" s="577"/>
      <c r="K113" s="572"/>
      <c r="L113" s="574"/>
      <c r="M113" s="589"/>
      <c r="N113" s="591"/>
      <c r="O113" s="582"/>
      <c r="P113" s="577"/>
      <c r="Q113" s="577"/>
      <c r="R113" s="574"/>
      <c r="S113" s="579"/>
      <c r="T113" s="575"/>
      <c r="X113" s="106"/>
      <c r="Y113" s="106"/>
      <c r="Z113" s="106"/>
      <c r="AA113" s="106"/>
      <c r="AB113" s="106"/>
      <c r="AC113" s="106"/>
      <c r="AD113" s="106"/>
      <c r="AE113" s="106"/>
      <c r="AF113" s="106"/>
      <c r="AG113" s="106"/>
      <c r="AH113" s="106"/>
      <c r="AI113" s="106"/>
    </row>
    <row r="114" spans="1:35" ht="20" customHeight="1">
      <c r="A114" s="165"/>
      <c r="C114" s="595" t="str">
        <f>SGoal!B40</f>
        <v>Incrementar las ventas a través de plataformas digitales.</v>
      </c>
      <c r="D114" s="595"/>
      <c r="E114" s="595"/>
      <c r="F114" s="595"/>
      <c r="G114" s="595"/>
      <c r="H114" s="577">
        <f>K114+I114</f>
        <v>2</v>
      </c>
      <c r="I114" s="577">
        <f>AuxP!D15</f>
        <v>1</v>
      </c>
      <c r="J114" s="577"/>
      <c r="K114" s="572">
        <f>AuxP!E15</f>
        <v>1</v>
      </c>
      <c r="L114" s="574">
        <f>IFERROR(I114/H114,0)</f>
        <v>0.5</v>
      </c>
      <c r="M114" s="589">
        <f>AuxP!F15</f>
        <v>0.83768896447467867</v>
      </c>
      <c r="N114" s="591" t="str">
        <f>IF(H114&gt;0,"●","")</f>
        <v>●</v>
      </c>
      <c r="O114" s="582">
        <f>SUM(AuxPlan!E44:E53)</f>
        <v>0</v>
      </c>
      <c r="P114" s="577">
        <f ca="1">SUM(AuxPlan!I44:I53)</f>
        <v>0</v>
      </c>
      <c r="Q114" s="577"/>
      <c r="R114" s="574">
        <f t="shared" ref="R114" ca="1" si="3">IFERROR(P114/O114,0)</f>
        <v>0</v>
      </c>
      <c r="S114" s="579">
        <f ca="1">IFERROR(AVERAGE(AuxPlan!J44:J53),0)</f>
        <v>0</v>
      </c>
      <c r="T114" s="575" t="str">
        <f>IF(H114&gt;0,"●","")</f>
        <v>●</v>
      </c>
      <c r="X114" s="106"/>
      <c r="Y114" s="106"/>
      <c r="Z114" s="106"/>
      <c r="AA114" s="106"/>
      <c r="AB114" s="106"/>
      <c r="AC114" s="106"/>
      <c r="AD114" s="106"/>
      <c r="AE114" s="106"/>
      <c r="AF114" s="106"/>
      <c r="AG114" s="106"/>
      <c r="AH114" s="106"/>
      <c r="AI114" s="106"/>
    </row>
    <row r="115" spans="1:35" ht="20" customHeight="1">
      <c r="A115" s="165"/>
      <c r="C115" s="595"/>
      <c r="D115" s="595"/>
      <c r="E115" s="595"/>
      <c r="F115" s="595"/>
      <c r="G115" s="595"/>
      <c r="H115" s="577"/>
      <c r="I115" s="577"/>
      <c r="J115" s="577"/>
      <c r="K115" s="572"/>
      <c r="L115" s="574"/>
      <c r="M115" s="589"/>
      <c r="N115" s="591"/>
      <c r="O115" s="582"/>
      <c r="P115" s="577"/>
      <c r="Q115" s="577"/>
      <c r="R115" s="574"/>
      <c r="S115" s="579"/>
      <c r="T115" s="575"/>
      <c r="X115" s="106"/>
      <c r="Y115" s="106"/>
      <c r="Z115" s="106"/>
      <c r="AA115" s="106"/>
      <c r="AB115" s="106"/>
      <c r="AC115" s="106"/>
      <c r="AD115" s="106"/>
      <c r="AE115" s="106"/>
      <c r="AF115" s="106"/>
      <c r="AG115" s="106"/>
      <c r="AH115" s="106"/>
      <c r="AI115" s="106"/>
    </row>
    <row r="116" spans="1:35" ht="20" customHeight="1">
      <c r="A116" s="165"/>
      <c r="C116" s="595" t="str">
        <f>SGoal!J40</f>
        <v>Desarrollar y fidelizar al talento humano de la empresa.</v>
      </c>
      <c r="D116" s="595"/>
      <c r="E116" s="595"/>
      <c r="F116" s="595"/>
      <c r="G116" s="595"/>
      <c r="H116" s="577">
        <f>K116+I116</f>
        <v>2</v>
      </c>
      <c r="I116" s="577">
        <f>AuxP!D16</f>
        <v>2</v>
      </c>
      <c r="J116" s="577"/>
      <c r="K116" s="572">
        <f>AuxP!E16</f>
        <v>0</v>
      </c>
      <c r="L116" s="574">
        <f>IFERROR(I116/H116,0)</f>
        <v>1</v>
      </c>
      <c r="M116" s="589">
        <f>AuxP!F16</f>
        <v>0.96851851851851833</v>
      </c>
      <c r="N116" s="591" t="str">
        <f>IF(H116&gt;0,"●","")</f>
        <v>●</v>
      </c>
      <c r="O116" s="582">
        <f>SUM(AuxPlan!E54:E63)</f>
        <v>0</v>
      </c>
      <c r="P116" s="577">
        <f ca="1">SUM(AuxPlan!I54:I63)</f>
        <v>0</v>
      </c>
      <c r="Q116" s="577"/>
      <c r="R116" s="574">
        <f t="shared" ref="R116" ca="1" si="4">IFERROR(P116/O116,0)</f>
        <v>0</v>
      </c>
      <c r="S116" s="579">
        <f ca="1">IFERROR(AVERAGE(AuxPlan!J54:J63),0)</f>
        <v>0</v>
      </c>
      <c r="T116" s="575" t="str">
        <f>IF(H116&gt;0,"●","")</f>
        <v>●</v>
      </c>
      <c r="X116" s="106"/>
      <c r="Y116" s="106"/>
      <c r="Z116" s="106"/>
      <c r="AA116" s="106"/>
      <c r="AB116" s="106"/>
      <c r="AC116" s="106"/>
      <c r="AD116" s="106"/>
      <c r="AE116" s="106"/>
      <c r="AF116" s="106"/>
      <c r="AG116" s="106"/>
      <c r="AH116" s="106"/>
      <c r="AI116" s="106"/>
    </row>
    <row r="117" spans="1:35" ht="20" customHeight="1" thickBot="1">
      <c r="A117" s="165"/>
      <c r="C117" s="596"/>
      <c r="D117" s="596"/>
      <c r="E117" s="596"/>
      <c r="F117" s="596"/>
      <c r="G117" s="596"/>
      <c r="H117" s="578"/>
      <c r="I117" s="578"/>
      <c r="J117" s="578"/>
      <c r="K117" s="597"/>
      <c r="L117" s="581"/>
      <c r="M117" s="590"/>
      <c r="N117" s="592"/>
      <c r="O117" s="598"/>
      <c r="P117" s="578"/>
      <c r="Q117" s="578"/>
      <c r="R117" s="581"/>
      <c r="S117" s="580"/>
      <c r="T117" s="576"/>
      <c r="U117" s="240"/>
      <c r="V117" s="240"/>
      <c r="W117" s="240"/>
      <c r="X117" s="106"/>
      <c r="Y117" s="106"/>
      <c r="Z117" s="106"/>
      <c r="AA117" s="106"/>
      <c r="AB117" s="106"/>
      <c r="AC117" s="106"/>
      <c r="AD117" s="106"/>
      <c r="AE117" s="106"/>
      <c r="AF117" s="106"/>
      <c r="AG117" s="106"/>
      <c r="AH117" s="106"/>
      <c r="AI117" s="106"/>
    </row>
    <row r="118" spans="1:35" ht="20" customHeight="1">
      <c r="A118" s="165"/>
      <c r="I118" s="164"/>
      <c r="J118" s="164"/>
      <c r="X118" s="106"/>
      <c r="Y118" s="106"/>
      <c r="Z118" s="106"/>
      <c r="AA118" s="106"/>
      <c r="AB118" s="106"/>
      <c r="AC118" s="106"/>
      <c r="AD118" s="106"/>
      <c r="AE118" s="106"/>
      <c r="AF118" s="106"/>
      <c r="AG118" s="106"/>
      <c r="AH118" s="106"/>
      <c r="AI118" s="106"/>
    </row>
    <row r="119" spans="1:35" ht="20" customHeight="1">
      <c r="A119" s="165"/>
      <c r="X119" s="106"/>
      <c r="Y119" s="106"/>
      <c r="Z119" s="106"/>
      <c r="AA119" s="106"/>
      <c r="AB119" s="106"/>
      <c r="AC119" s="106"/>
      <c r="AD119" s="106"/>
      <c r="AE119" s="106"/>
      <c r="AF119" s="106"/>
      <c r="AG119" s="106"/>
      <c r="AH119" s="106"/>
      <c r="AI119" s="106"/>
    </row>
    <row r="120" spans="1:35" ht="20" customHeight="1">
      <c r="A120" s="165"/>
      <c r="X120" s="106"/>
      <c r="Y120" s="106"/>
      <c r="Z120" s="106"/>
      <c r="AA120" s="106"/>
      <c r="AB120" s="106"/>
      <c r="AC120" s="106"/>
      <c r="AD120" s="106"/>
      <c r="AE120" s="106"/>
      <c r="AF120" s="106"/>
      <c r="AG120" s="106"/>
      <c r="AH120" s="106"/>
      <c r="AI120" s="106"/>
    </row>
    <row r="121" spans="1:35" ht="20" customHeight="1">
      <c r="A121" s="165"/>
      <c r="X121" s="106"/>
      <c r="Y121" s="106"/>
      <c r="Z121" s="106"/>
      <c r="AA121" s="106"/>
      <c r="AB121" s="106"/>
      <c r="AC121" s="106"/>
      <c r="AD121" s="106"/>
      <c r="AE121" s="106"/>
      <c r="AF121" s="106"/>
      <c r="AG121" s="106"/>
      <c r="AH121" s="106"/>
      <c r="AI121" s="106"/>
    </row>
    <row r="122" spans="1:35" ht="20" customHeight="1">
      <c r="A122" s="165"/>
      <c r="X122" s="106"/>
      <c r="Y122" s="106"/>
      <c r="Z122" s="106"/>
      <c r="AA122" s="106"/>
      <c r="AB122" s="106"/>
      <c r="AC122" s="106"/>
      <c r="AD122" s="106"/>
      <c r="AE122" s="106"/>
      <c r="AF122" s="106"/>
      <c r="AG122" s="106"/>
      <c r="AH122" s="106"/>
      <c r="AI122" s="106"/>
    </row>
    <row r="123" spans="1:35" ht="20" customHeight="1">
      <c r="A123" s="165"/>
      <c r="X123" s="106"/>
      <c r="Y123" s="106"/>
      <c r="Z123" s="106"/>
      <c r="AA123" s="106"/>
      <c r="AB123" s="106"/>
      <c r="AC123" s="106"/>
      <c r="AD123" s="106"/>
      <c r="AE123" s="106"/>
      <c r="AF123" s="106"/>
      <c r="AG123" s="106"/>
      <c r="AH123" s="106"/>
      <c r="AI123" s="106"/>
    </row>
    <row r="124" spans="1:35" ht="20" customHeight="1">
      <c r="A124" s="165"/>
      <c r="X124" s="106"/>
      <c r="Y124" s="106"/>
      <c r="Z124" s="106"/>
      <c r="AA124" s="106"/>
      <c r="AB124" s="106"/>
      <c r="AC124" s="106"/>
      <c r="AD124" s="106"/>
      <c r="AE124" s="106"/>
      <c r="AF124" s="106"/>
      <c r="AG124" s="106"/>
      <c r="AH124" s="106"/>
      <c r="AI124" s="106"/>
    </row>
    <row r="125" spans="1:35" ht="20" customHeight="1">
      <c r="A125" s="165"/>
      <c r="X125" s="106"/>
      <c r="Y125" s="106"/>
      <c r="Z125" s="106"/>
      <c r="AA125" s="106"/>
      <c r="AB125" s="106"/>
      <c r="AC125" s="106"/>
      <c r="AD125" s="106"/>
      <c r="AE125" s="106"/>
      <c r="AF125" s="106"/>
      <c r="AG125" s="106"/>
      <c r="AH125" s="106"/>
      <c r="AI125" s="106"/>
    </row>
    <row r="126" spans="1:35" ht="20" customHeight="1">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row>
    <row r="127" spans="1:35" ht="20" customHeight="1">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row>
    <row r="128" spans="1:35" ht="20" customHeight="1">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row>
    <row r="129" spans="1:35" ht="20" customHeight="1">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row>
    <row r="130" spans="1:35" ht="20" customHeight="1">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row>
    <row r="131" spans="1:35" ht="20" customHeight="1">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row>
    <row r="132" spans="1:35" ht="20" customHeight="1">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row>
    <row r="133" spans="1:35" ht="20" customHeight="1">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row>
    <row r="134" spans="1:35" ht="20" customHeight="1">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row>
    <row r="135" spans="1:35" ht="20" customHeight="1">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row>
    <row r="136" spans="1:35" ht="20" customHeight="1">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row>
    <row r="137" spans="1:35" ht="20" customHeight="1">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5"/>
      <c r="AG137" s="165"/>
      <c r="AH137" s="165"/>
      <c r="AI137" s="165"/>
    </row>
    <row r="138" spans="1:35" ht="20" customHeight="1">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row>
    <row r="139" spans="1:35" ht="20" customHeight="1">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row>
    <row r="140" spans="1:35" ht="20" customHeight="1">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row>
    <row r="141" spans="1:35" ht="20" customHeight="1">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c r="AD141" s="165"/>
      <c r="AE141" s="165"/>
      <c r="AF141" s="165"/>
      <c r="AG141" s="165"/>
      <c r="AH141" s="165"/>
      <c r="AI141" s="165"/>
    </row>
    <row r="142" spans="1:35" ht="20" customHeight="1">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row>
    <row r="143" spans="1:35" ht="20" customHeight="1">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row>
    <row r="144" spans="1:35">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row>
    <row r="145" spans="1:35">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row>
    <row r="146" spans="1:35">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row>
    <row r="147" spans="1:35">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row>
  </sheetData>
  <sheetProtection formatCells="0" formatColumns="0" formatRows="0" selectLockedCells="1" sort="0" autoFilter="0" pivotTables="0"/>
  <mergeCells count="180">
    <mergeCell ref="B39:P40"/>
    <mergeCell ref="C12:V14"/>
    <mergeCell ref="C56:H56"/>
    <mergeCell ref="J56:O56"/>
    <mergeCell ref="Q56:V56"/>
    <mergeCell ref="C63:H63"/>
    <mergeCell ref="J63:O63"/>
    <mergeCell ref="Q63:V63"/>
    <mergeCell ref="C57:H58"/>
    <mergeCell ref="J57:O58"/>
    <mergeCell ref="Q57:V58"/>
    <mergeCell ref="C46:W47"/>
    <mergeCell ref="C50:V53"/>
    <mergeCell ref="C43:W44"/>
    <mergeCell ref="Q64:V65"/>
    <mergeCell ref="C59:H61"/>
    <mergeCell ref="J59:O61"/>
    <mergeCell ref="Q59:V61"/>
    <mergeCell ref="C66:H68"/>
    <mergeCell ref="J66:O68"/>
    <mergeCell ref="Q66:V68"/>
    <mergeCell ref="C64:H65"/>
    <mergeCell ref="J64:O65"/>
    <mergeCell ref="Q72:V73"/>
    <mergeCell ref="Q74:V74"/>
    <mergeCell ref="Q75:V75"/>
    <mergeCell ref="Q76:V76"/>
    <mergeCell ref="Q77:V77"/>
    <mergeCell ref="J80:O80"/>
    <mergeCell ref="J81:O81"/>
    <mergeCell ref="C72:H73"/>
    <mergeCell ref="J72:O73"/>
    <mergeCell ref="J74:O74"/>
    <mergeCell ref="J75:O75"/>
    <mergeCell ref="J76:O76"/>
    <mergeCell ref="C74:H74"/>
    <mergeCell ref="C75:H75"/>
    <mergeCell ref="C76:H76"/>
    <mergeCell ref="C77:H77"/>
    <mergeCell ref="C78:H78"/>
    <mergeCell ref="C80:H80"/>
    <mergeCell ref="C79:H79"/>
    <mergeCell ref="C81:H81"/>
    <mergeCell ref="J77:O77"/>
    <mergeCell ref="J78:O78"/>
    <mergeCell ref="J79:O79"/>
    <mergeCell ref="Q83:V83"/>
    <mergeCell ref="Q84:V84"/>
    <mergeCell ref="C86:H87"/>
    <mergeCell ref="J86:O87"/>
    <mergeCell ref="Q86:V87"/>
    <mergeCell ref="C84:H84"/>
    <mergeCell ref="Q78:V78"/>
    <mergeCell ref="Q79:V79"/>
    <mergeCell ref="Q80:V80"/>
    <mergeCell ref="Q81:V81"/>
    <mergeCell ref="Q82:V82"/>
    <mergeCell ref="J82:O82"/>
    <mergeCell ref="J83:O83"/>
    <mergeCell ref="J84:O84"/>
    <mergeCell ref="C85:F85"/>
    <mergeCell ref="C82:H82"/>
    <mergeCell ref="C83:H83"/>
    <mergeCell ref="C90:H90"/>
    <mergeCell ref="J90:O90"/>
    <mergeCell ref="Q90:V90"/>
    <mergeCell ref="C91:H91"/>
    <mergeCell ref="J91:O91"/>
    <mergeCell ref="Q91:V91"/>
    <mergeCell ref="C88:H88"/>
    <mergeCell ref="J88:O88"/>
    <mergeCell ref="Q88:V88"/>
    <mergeCell ref="C89:H89"/>
    <mergeCell ref="J89:O89"/>
    <mergeCell ref="Q89:V89"/>
    <mergeCell ref="C94:H94"/>
    <mergeCell ref="J94:O94"/>
    <mergeCell ref="Q94:V94"/>
    <mergeCell ref="C95:H95"/>
    <mergeCell ref="J95:O95"/>
    <mergeCell ref="Q95:V95"/>
    <mergeCell ref="C92:H92"/>
    <mergeCell ref="J92:O92"/>
    <mergeCell ref="Q92:V92"/>
    <mergeCell ref="C93:H93"/>
    <mergeCell ref="J93:O93"/>
    <mergeCell ref="Q93:V93"/>
    <mergeCell ref="C98:H98"/>
    <mergeCell ref="J98:O98"/>
    <mergeCell ref="Q98:V98"/>
    <mergeCell ref="C96:H96"/>
    <mergeCell ref="J96:O96"/>
    <mergeCell ref="Q96:V96"/>
    <mergeCell ref="C97:H97"/>
    <mergeCell ref="J97:O97"/>
    <mergeCell ref="Q97:V97"/>
    <mergeCell ref="M104:M105"/>
    <mergeCell ref="N104:N105"/>
    <mergeCell ref="H106:H107"/>
    <mergeCell ref="M106:M107"/>
    <mergeCell ref="N106:N107"/>
    <mergeCell ref="C106:G107"/>
    <mergeCell ref="C104:G105"/>
    <mergeCell ref="I104:J105"/>
    <mergeCell ref="I106:J107"/>
    <mergeCell ref="K104:K105"/>
    <mergeCell ref="L104:L105"/>
    <mergeCell ref="H104:H105"/>
    <mergeCell ref="K106:K107"/>
    <mergeCell ref="H110:H111"/>
    <mergeCell ref="M110:M111"/>
    <mergeCell ref="N110:N111"/>
    <mergeCell ref="C108:G109"/>
    <mergeCell ref="C110:G111"/>
    <mergeCell ref="I108:J109"/>
    <mergeCell ref="I110:J111"/>
    <mergeCell ref="H108:H109"/>
    <mergeCell ref="P108:Q109"/>
    <mergeCell ref="K108:K109"/>
    <mergeCell ref="K110:K111"/>
    <mergeCell ref="M116:M117"/>
    <mergeCell ref="N116:N117"/>
    <mergeCell ref="O106:O107"/>
    <mergeCell ref="O114:O115"/>
    <mergeCell ref="P104:Q105"/>
    <mergeCell ref="P106:Q107"/>
    <mergeCell ref="H116:H117"/>
    <mergeCell ref="C116:G117"/>
    <mergeCell ref="I116:J117"/>
    <mergeCell ref="K116:K117"/>
    <mergeCell ref="L116:L117"/>
    <mergeCell ref="M112:M113"/>
    <mergeCell ref="N112:N113"/>
    <mergeCell ref="H114:H115"/>
    <mergeCell ref="M114:M115"/>
    <mergeCell ref="N114:N115"/>
    <mergeCell ref="C112:G113"/>
    <mergeCell ref="C114:G115"/>
    <mergeCell ref="I112:J113"/>
    <mergeCell ref="I114:J115"/>
    <mergeCell ref="H112:H113"/>
    <mergeCell ref="M108:M109"/>
    <mergeCell ref="N108:N109"/>
    <mergeCell ref="O116:O117"/>
    <mergeCell ref="T106:T107"/>
    <mergeCell ref="O108:O109"/>
    <mergeCell ref="T108:T109"/>
    <mergeCell ref="O110:O111"/>
    <mergeCell ref="O104:O105"/>
    <mergeCell ref="T104:T105"/>
    <mergeCell ref="S106:S107"/>
    <mergeCell ref="S108:S109"/>
    <mergeCell ref="T114:T115"/>
    <mergeCell ref="R104:R105"/>
    <mergeCell ref="S104:S105"/>
    <mergeCell ref="T116:T117"/>
    <mergeCell ref="P114:Q115"/>
    <mergeCell ref="P116:Q117"/>
    <mergeCell ref="S116:S117"/>
    <mergeCell ref="R116:R117"/>
    <mergeCell ref="T110:T111"/>
    <mergeCell ref="O112:O113"/>
    <mergeCell ref="T112:T113"/>
    <mergeCell ref="P110:Q111"/>
    <mergeCell ref="P112:Q113"/>
    <mergeCell ref="S110:S111"/>
    <mergeCell ref="S112:S113"/>
    <mergeCell ref="S114:S115"/>
    <mergeCell ref="K112:K113"/>
    <mergeCell ref="K114:K115"/>
    <mergeCell ref="L106:L107"/>
    <mergeCell ref="L108:L109"/>
    <mergeCell ref="L110:L111"/>
    <mergeCell ref="L112:L113"/>
    <mergeCell ref="L114:L115"/>
    <mergeCell ref="R106:R107"/>
    <mergeCell ref="R108:R109"/>
    <mergeCell ref="R110:R111"/>
    <mergeCell ref="R112:R113"/>
    <mergeCell ref="R114:R115"/>
  </mergeCells>
  <conditionalFormatting sqref="H106:T117">
    <cfRule type="expression" dxfId="75" priority="1">
      <formula>$C106=""</formula>
    </cfRule>
  </conditionalFormatting>
  <conditionalFormatting sqref="N106:N117">
    <cfRule type="expression" dxfId="74" priority="63">
      <formula>$M106&lt;$L$101</formula>
    </cfRule>
    <cfRule type="expression" dxfId="73" priority="64">
      <formula>$M106&gt;=$L$101</formula>
    </cfRule>
  </conditionalFormatting>
  <conditionalFormatting sqref="T106:T117">
    <cfRule type="expression" dxfId="72" priority="45">
      <formula>$S106&lt;$R$102</formula>
    </cfRule>
    <cfRule type="expression" dxfId="71" priority="46">
      <formula>$S106&lt;$R$101</formula>
    </cfRule>
    <cfRule type="expression" dxfId="70" priority="47">
      <formula>$S106&gt;=$R$101</formula>
    </cfRule>
  </conditionalFormatting>
  <pageMargins left="0.7" right="0.7" top="0.75" bottom="0.75" header="0.3" footer="0.3"/>
  <pageSetup scale="73" fitToHeight="0" orientation="landscape" r:id="rId1"/>
  <rowBreaks count="3" manualBreakCount="3">
    <brk id="37" min="1" max="22" man="1"/>
    <brk id="69" min="1" max="22" man="1"/>
    <brk id="99" min="1"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B28DB-F0C2-4531-AC5E-461C8EE75ADE}">
  <sheetPr codeName="Feuil2"/>
  <dimension ref="A1:S85"/>
  <sheetViews>
    <sheetView showGridLines="0" showRowColHeaders="0" zoomScale="147" zoomScaleNormal="147" workbookViewId="0">
      <selection activeCell="C16" sqref="C16"/>
    </sheetView>
  </sheetViews>
  <sheetFormatPr baseColWidth="10" defaultColWidth="11.5" defaultRowHeight="15"/>
  <cols>
    <col min="1" max="1" width="2.6640625" style="252" customWidth="1"/>
    <col min="2" max="2" width="8.6640625" style="252" customWidth="1"/>
    <col min="3" max="3" width="60.6640625" style="272" customWidth="1"/>
    <col min="4" max="16384" width="11.5" style="252"/>
  </cols>
  <sheetData>
    <row r="1" spans="1:19" s="268" customFormat="1" ht="39" customHeight="1">
      <c r="A1" s="266"/>
      <c r="B1" s="266"/>
      <c r="C1" s="267"/>
      <c r="D1" s="266"/>
      <c r="E1" s="266"/>
      <c r="F1" s="266"/>
      <c r="G1" s="266"/>
      <c r="H1" s="266"/>
      <c r="I1" s="266"/>
      <c r="J1" s="266"/>
      <c r="K1" s="266"/>
      <c r="L1" s="266"/>
      <c r="M1" s="266"/>
      <c r="N1" s="266"/>
      <c r="O1" s="266"/>
      <c r="P1" s="266"/>
      <c r="Q1" s="266"/>
      <c r="R1" s="266"/>
      <c r="S1" s="266"/>
    </row>
    <row r="2" spans="1:19" s="269" customFormat="1" ht="25" customHeight="1">
      <c r="C2" s="270"/>
    </row>
    <row r="3" spans="1:19" s="251" customFormat="1" ht="18" customHeight="1">
      <c r="C3" s="265"/>
    </row>
    <row r="4" spans="1:19" s="251" customFormat="1" ht="18" customHeight="1">
      <c r="C4" s="265"/>
    </row>
    <row r="5" spans="1:19" s="251" customFormat="1" ht="20" customHeight="1">
      <c r="C5" s="265"/>
    </row>
    <row r="6" spans="1:19" ht="20" customHeight="1"/>
    <row r="7" spans="1:19" s="273" customFormat="1" ht="20" customHeight="1">
      <c r="A7" s="273" t="s">
        <v>310</v>
      </c>
      <c r="B7" s="271" t="str">
        <f>Lan!F12</f>
        <v>1.1. Áreas estratégicas</v>
      </c>
      <c r="C7" s="274"/>
      <c r="D7" s="274"/>
      <c r="E7" s="274"/>
    </row>
    <row r="8" spans="1:19" ht="20" customHeight="1">
      <c r="B8" s="459" t="str">
        <f>Lan!F152</f>
        <v>También puede estructurar su plan estratégico por departamento, iniciativas o temas. Límite de 8 áreas.</v>
      </c>
      <c r="C8" s="275"/>
      <c r="D8" s="275"/>
      <c r="E8" s="275"/>
      <c r="F8" s="275"/>
      <c r="G8" s="275"/>
      <c r="H8" s="275"/>
      <c r="I8" s="275"/>
    </row>
    <row r="9" spans="1:19" ht="20" customHeight="1"/>
    <row r="10" spans="1:19" ht="20" customHeight="1" thickBot="1">
      <c r="B10" s="283" t="s">
        <v>50</v>
      </c>
      <c r="C10" s="284" t="str">
        <f>Lan!F13</f>
        <v>Áreas estratégicas</v>
      </c>
      <c r="D10" s="251"/>
      <c r="E10" s="251"/>
      <c r="F10" s="251"/>
      <c r="G10" s="251"/>
      <c r="H10" s="251"/>
    </row>
    <row r="11" spans="1:19" ht="25" customHeight="1">
      <c r="B11" s="276">
        <v>1</v>
      </c>
      <c r="C11" s="263" t="s">
        <v>329</v>
      </c>
      <c r="D11" s="251"/>
      <c r="E11" s="251"/>
      <c r="F11" s="251"/>
      <c r="G11" s="251"/>
      <c r="H11" s="251"/>
    </row>
    <row r="12" spans="1:19" ht="25" customHeight="1">
      <c r="B12" s="277">
        <v>2</v>
      </c>
      <c r="C12" s="264" t="s">
        <v>328</v>
      </c>
      <c r="D12" s="251"/>
      <c r="E12" s="251"/>
      <c r="F12" s="251"/>
      <c r="G12" s="251"/>
      <c r="H12" s="251"/>
    </row>
    <row r="13" spans="1:19" ht="25" customHeight="1">
      <c r="B13" s="278">
        <v>3</v>
      </c>
      <c r="C13" s="265" t="s">
        <v>330</v>
      </c>
      <c r="D13" s="251"/>
      <c r="E13" s="251"/>
      <c r="F13" s="251"/>
      <c r="G13" s="251"/>
      <c r="H13" s="251"/>
    </row>
    <row r="14" spans="1:19" ht="25" customHeight="1">
      <c r="B14" s="277">
        <v>4</v>
      </c>
      <c r="C14" s="264" t="s">
        <v>332</v>
      </c>
      <c r="D14" s="251"/>
      <c r="E14" s="251"/>
      <c r="F14" s="251"/>
      <c r="G14" s="251"/>
      <c r="H14" s="251"/>
    </row>
    <row r="15" spans="1:19" ht="25" customHeight="1">
      <c r="B15" s="279">
        <v>5</v>
      </c>
      <c r="C15" s="265" t="s">
        <v>331</v>
      </c>
      <c r="D15" s="251"/>
      <c r="E15" s="251"/>
      <c r="F15" s="251"/>
      <c r="G15" s="251"/>
      <c r="H15" s="251"/>
    </row>
    <row r="16" spans="1:19" ht="25" customHeight="1">
      <c r="B16" s="277">
        <v>6</v>
      </c>
      <c r="C16" s="264" t="s">
        <v>333</v>
      </c>
      <c r="D16" s="251"/>
      <c r="E16" s="251"/>
      <c r="F16" s="251"/>
      <c r="G16" s="251"/>
      <c r="H16" s="251"/>
    </row>
    <row r="17" spans="2:8" ht="25" customHeight="1">
      <c r="B17" s="279">
        <v>7</v>
      </c>
      <c r="C17" s="265"/>
      <c r="D17" s="251"/>
      <c r="E17" s="251"/>
      <c r="F17" s="251"/>
      <c r="G17" s="251"/>
      <c r="H17" s="251"/>
    </row>
    <row r="18" spans="2:8" ht="25" customHeight="1">
      <c r="B18" s="277">
        <v>8</v>
      </c>
      <c r="C18" s="264"/>
      <c r="D18" s="251"/>
      <c r="E18" s="251"/>
      <c r="F18" s="251"/>
      <c r="G18" s="251"/>
      <c r="H18" s="251"/>
    </row>
    <row r="19" spans="2:8" ht="20" customHeight="1">
      <c r="B19" s="279"/>
      <c r="C19" s="265"/>
      <c r="D19" s="251"/>
      <c r="E19" s="251"/>
      <c r="F19" s="251"/>
      <c r="G19" s="251"/>
      <c r="H19" s="251"/>
    </row>
    <row r="20" spans="2:8" ht="20" customHeight="1">
      <c r="B20" s="279"/>
      <c r="C20" s="265"/>
      <c r="D20" s="251"/>
      <c r="E20" s="251"/>
      <c r="F20" s="251"/>
      <c r="G20" s="251"/>
      <c r="H20" s="251"/>
    </row>
    <row r="21" spans="2:8" ht="20" customHeight="1">
      <c r="B21" s="279"/>
      <c r="C21" s="265"/>
      <c r="D21" s="251"/>
      <c r="E21" s="251"/>
      <c r="F21" s="251"/>
      <c r="G21" s="251"/>
      <c r="H21" s="251"/>
    </row>
    <row r="22" spans="2:8" ht="20" customHeight="1">
      <c r="B22" s="279"/>
      <c r="C22" s="265"/>
      <c r="D22" s="251"/>
      <c r="E22" s="251"/>
      <c r="F22" s="251"/>
      <c r="G22" s="251"/>
      <c r="H22" s="251"/>
    </row>
    <row r="23" spans="2:8" ht="20" customHeight="1">
      <c r="B23" s="279"/>
      <c r="C23" s="265"/>
      <c r="D23" s="251"/>
      <c r="E23" s="251"/>
      <c r="F23" s="251"/>
      <c r="G23" s="251"/>
      <c r="H23" s="251"/>
    </row>
    <row r="24" spans="2:8" ht="20" customHeight="1">
      <c r="B24" s="279"/>
      <c r="C24" s="265"/>
      <c r="D24" s="251"/>
      <c r="E24" s="251"/>
      <c r="F24" s="251"/>
      <c r="G24" s="251"/>
      <c r="H24" s="251"/>
    </row>
    <row r="25" spans="2:8" ht="20" customHeight="1">
      <c r="B25" s="279"/>
      <c r="C25" s="265"/>
      <c r="D25" s="251"/>
      <c r="E25" s="251"/>
      <c r="F25" s="251"/>
      <c r="G25" s="251"/>
      <c r="H25" s="251"/>
    </row>
    <row r="26" spans="2:8" ht="20" customHeight="1">
      <c r="B26" s="279"/>
      <c r="C26" s="265"/>
    </row>
    <row r="27" spans="2:8" ht="20" customHeight="1">
      <c r="B27" s="279"/>
      <c r="C27" s="265"/>
    </row>
    <row r="28" spans="2:8" ht="20" customHeight="1">
      <c r="B28" s="279"/>
      <c r="C28" s="265"/>
    </row>
    <row r="29" spans="2:8" ht="20" customHeight="1">
      <c r="B29" s="279"/>
      <c r="C29" s="265"/>
    </row>
    <row r="30" spans="2:8" ht="20" customHeight="1">
      <c r="B30" s="279"/>
      <c r="C30" s="265"/>
    </row>
    <row r="31" spans="2:8" ht="20" customHeight="1">
      <c r="B31" s="280"/>
      <c r="C31" s="265"/>
    </row>
    <row r="32" spans="2:8" ht="20" customHeight="1">
      <c r="B32" s="280"/>
      <c r="C32" s="265"/>
    </row>
    <row r="33" spans="2:3" ht="20" customHeight="1">
      <c r="B33" s="280"/>
      <c r="C33" s="265"/>
    </row>
    <row r="34" spans="2:3" ht="20" customHeight="1">
      <c r="B34" s="280"/>
      <c r="C34" s="265"/>
    </row>
    <row r="35" spans="2:3" ht="20" customHeight="1">
      <c r="B35" s="281"/>
    </row>
    <row r="36" spans="2:3" ht="20" customHeight="1">
      <c r="B36" s="281"/>
    </row>
    <row r="37" spans="2:3" ht="20" customHeight="1">
      <c r="B37" s="281"/>
    </row>
    <row r="38" spans="2:3" ht="20" customHeight="1">
      <c r="B38" s="281"/>
    </row>
    <row r="39" spans="2:3" ht="20" customHeight="1">
      <c r="B39" s="281"/>
    </row>
    <row r="40" spans="2:3" ht="20" customHeight="1">
      <c r="B40" s="281"/>
    </row>
    <row r="41" spans="2:3" ht="20" customHeight="1">
      <c r="B41" s="281"/>
    </row>
    <row r="42" spans="2:3" ht="20" customHeight="1">
      <c r="B42" s="281"/>
    </row>
    <row r="43" spans="2:3" ht="20" customHeight="1">
      <c r="B43" s="281"/>
    </row>
    <row r="44" spans="2:3" ht="20" customHeight="1">
      <c r="B44" s="281"/>
    </row>
    <row r="45" spans="2:3" ht="20" customHeight="1">
      <c r="B45" s="281"/>
    </row>
    <row r="46" spans="2:3" ht="20" customHeight="1">
      <c r="B46" s="281"/>
    </row>
    <row r="47" spans="2:3" ht="20" customHeight="1">
      <c r="B47" s="281"/>
    </row>
    <row r="48" spans="2:3" ht="20" customHeight="1">
      <c r="B48" s="281"/>
    </row>
    <row r="49" spans="2:2" ht="20" customHeight="1">
      <c r="B49" s="281"/>
    </row>
    <row r="50" spans="2:2" ht="20" customHeight="1">
      <c r="B50" s="281"/>
    </row>
    <row r="51" spans="2:2" ht="20" customHeight="1">
      <c r="B51" s="281"/>
    </row>
    <row r="52" spans="2:2" ht="20" customHeight="1">
      <c r="B52" s="282"/>
    </row>
    <row r="53" spans="2:2" ht="20" customHeight="1"/>
    <row r="54" spans="2:2" ht="20" customHeight="1"/>
    <row r="55" spans="2:2" ht="20" customHeight="1"/>
    <row r="56" spans="2:2" ht="20" customHeight="1"/>
    <row r="57" spans="2:2" ht="20" customHeight="1"/>
    <row r="58" spans="2:2" ht="20" customHeight="1"/>
    <row r="59" spans="2:2" ht="20" customHeight="1"/>
    <row r="60" spans="2:2" ht="20" customHeight="1"/>
    <row r="61" spans="2:2" ht="20" customHeight="1"/>
    <row r="62" spans="2:2" ht="20" customHeight="1"/>
    <row r="63" spans="2:2" ht="20" customHeight="1"/>
    <row r="64" spans="2:2"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sheetData>
  <sheetProtection formatCells="0" formatColumns="0" formatRows="0" selectLockedCells="1" sort="0" autoFilter="0" pivotTables="0"/>
  <pageMargins left="0.25" right="0.25" top="0.75" bottom="0.75" header="0.3" footer="0.3"/>
  <pageSetup scale="5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36CE1-3E48-4F96-B490-F13347267AEF}">
  <dimension ref="B2:K100"/>
  <sheetViews>
    <sheetView showGridLines="0" workbookViewId="0">
      <selection activeCell="N8" sqref="N8"/>
    </sheetView>
  </sheetViews>
  <sheetFormatPr baseColWidth="10" defaultColWidth="11.5" defaultRowHeight="15"/>
  <cols>
    <col min="1" max="1" width="2.1640625" customWidth="1"/>
    <col min="2" max="2" width="32.33203125" bestFit="1" customWidth="1"/>
    <col min="3" max="3" width="33.33203125" hidden="1" customWidth="1"/>
    <col min="4" max="5" width="18.33203125" hidden="1" customWidth="1"/>
    <col min="6" max="6" width="14.5" hidden="1" customWidth="1"/>
    <col min="7" max="7" width="18" customWidth="1"/>
    <col min="8" max="9" width="18.33203125" bestFit="1" customWidth="1"/>
    <col min="10" max="10" width="13.1640625" bestFit="1" customWidth="1"/>
    <col min="11" max="11" width="18.33203125" bestFit="1" customWidth="1"/>
  </cols>
  <sheetData>
    <row r="2" spans="2:10">
      <c r="B2" t="str">
        <f>SDashboard!C9</f>
        <v>TOTAL</v>
      </c>
      <c r="D2" s="60">
        <f>Settings!E22</f>
        <v>0.9</v>
      </c>
      <c r="E2" s="66"/>
    </row>
    <row r="4" spans="2:10">
      <c r="B4" s="47" t="s">
        <v>107</v>
      </c>
      <c r="C4" s="49" t="s">
        <v>108</v>
      </c>
      <c r="D4" s="50" t="s">
        <v>117</v>
      </c>
    </row>
    <row r="5" spans="2:10">
      <c r="B5" s="19">
        <f>VLOOKUP(Settings!C11,Data!A2:C13,3,FALSE)</f>
        <v>46203</v>
      </c>
      <c r="C5" s="20">
        <f ca="1">TODAY()</f>
        <v>45850</v>
      </c>
      <c r="D5" s="25">
        <f ca="1">_xlfn.DAYS(B5,C5)</f>
        <v>353</v>
      </c>
    </row>
    <row r="6" spans="2:10">
      <c r="G6" s="84"/>
      <c r="H6">
        <f>H16/1</f>
        <v>0</v>
      </c>
    </row>
    <row r="7" spans="2:10">
      <c r="B7" s="47" t="s">
        <v>110</v>
      </c>
      <c r="C7" s="48" t="s">
        <v>111</v>
      </c>
      <c r="D7" s="43" t="s">
        <v>112</v>
      </c>
      <c r="I7" s="66"/>
    </row>
    <row r="8" spans="2:10">
      <c r="B8" s="46">
        <f>C17</f>
        <v>6</v>
      </c>
      <c r="C8" s="44">
        <f>COUNTIF(F11:F16,"&gt;="&amp;D2)</f>
        <v>3</v>
      </c>
      <c r="D8" s="45">
        <f>COUNTIF(F11:F16,"&lt;"&amp;D2)</f>
        <v>3</v>
      </c>
    </row>
    <row r="10" spans="2:10">
      <c r="B10" s="31" t="str">
        <f>Goals!B11</f>
        <v>ID</v>
      </c>
      <c r="C10" s="32" t="s">
        <v>114</v>
      </c>
      <c r="D10" s="38" t="s">
        <v>103</v>
      </c>
      <c r="E10" s="31" t="s">
        <v>104</v>
      </c>
      <c r="F10" s="30" t="s">
        <v>125</v>
      </c>
      <c r="G10" s="71" t="s">
        <v>121</v>
      </c>
      <c r="H10" s="30" t="s">
        <v>122</v>
      </c>
      <c r="I10" s="71" t="s">
        <v>121</v>
      </c>
      <c r="J10" s="30" t="s">
        <v>181</v>
      </c>
    </row>
    <row r="11" spans="2:10">
      <c r="B11" s="26" t="str">
        <f>IF(Goals!B12="","",Goals!B12)</f>
        <v>Meta 1</v>
      </c>
      <c r="C11" s="9">
        <f>IF(Goals!C12="","",1)</f>
        <v>1</v>
      </c>
      <c r="D11" s="28">
        <f t="shared" ref="D11:D16" si="0">SUMIF($B$20:$B$79,B11,$J$20:$J$79)</f>
        <v>1</v>
      </c>
      <c r="E11" s="28">
        <f t="shared" ref="E11:E16" si="1">SUMIF($B$20:$B$79,B11,$K$20:$K$79)</f>
        <v>0</v>
      </c>
      <c r="F11" s="41">
        <f>AVERAGEIF(I11:J11,"&lt;&gt;0")</f>
        <v>1.1042345276872965</v>
      </c>
      <c r="G11" s="70">
        <f>IFERROR(AVERAGEIF(D20:D29,"=↑",I20:I29),0)</f>
        <v>1.1042345276872965</v>
      </c>
      <c r="H11" s="73">
        <f>IFERROR(AVERAGEIF(D20:D29,"=↓",I20:I29),0)</f>
        <v>0</v>
      </c>
      <c r="I11" s="70">
        <f>G11</f>
        <v>1.1042345276872965</v>
      </c>
      <c r="J11" s="87">
        <f>IF(H11=0,0,$D$2+1-H11)</f>
        <v>0</v>
      </c>
    </row>
    <row r="12" spans="2:10">
      <c r="B12" s="27" t="str">
        <f>IF(Goals!B13="","",Goals!B13)</f>
        <v>Meta 2</v>
      </c>
      <c r="C12" s="9">
        <f>IF(Goals!C13="","",1)</f>
        <v>1</v>
      </c>
      <c r="D12" s="29">
        <f t="shared" si="0"/>
        <v>0</v>
      </c>
      <c r="E12" s="29">
        <f t="shared" si="1"/>
        <v>1</v>
      </c>
      <c r="F12" s="41">
        <f>AVERAGEIF(I12:J12,"&lt;&gt;0")</f>
        <v>0.60000000000000009</v>
      </c>
      <c r="G12" s="70">
        <f>IFERROR(AVERAGEIF(D30:D39,"=↑",I30:I39),0)</f>
        <v>0</v>
      </c>
      <c r="H12" s="73">
        <f>IFERROR(AVERAGEIF(D30:D39,"=↓",I30:I39),0)</f>
        <v>1.2999999999999998</v>
      </c>
      <c r="I12" s="70">
        <f t="shared" ref="I12:I16" si="2">G12</f>
        <v>0</v>
      </c>
      <c r="J12" s="87">
        <f t="shared" ref="J12:J16" si="3">IF(H12=0,0,$D$2+1-H12)</f>
        <v>0.60000000000000009</v>
      </c>
    </row>
    <row r="13" spans="2:10">
      <c r="B13" s="27" t="str">
        <f>IF(Goals!B14="","",Goals!B14)</f>
        <v>Meta 3</v>
      </c>
      <c r="C13" s="9">
        <f>IF(Goals!C14="","",1)</f>
        <v>1</v>
      </c>
      <c r="D13" s="29">
        <f t="shared" si="0"/>
        <v>2</v>
      </c>
      <c r="E13" s="29">
        <f t="shared" si="1"/>
        <v>0</v>
      </c>
      <c r="F13" s="41">
        <f t="shared" ref="F13:F17" si="4">AVERAGEIF(I13:J13,"&lt;&gt;0")</f>
        <v>1.2157333333333333</v>
      </c>
      <c r="G13" s="70">
        <f>IFERROR(AVERAGEIF(D40:D49,"=↑",I40:I49),0)</f>
        <v>1.2157333333333333</v>
      </c>
      <c r="H13" s="73">
        <f>IFERROR(AVERAGEIF(D40:D49,"=↓",I40:I49),0)</f>
        <v>0</v>
      </c>
      <c r="I13" s="70">
        <f t="shared" si="2"/>
        <v>1.2157333333333333</v>
      </c>
      <c r="J13" s="87">
        <f t="shared" si="3"/>
        <v>0</v>
      </c>
    </row>
    <row r="14" spans="2:10">
      <c r="B14" s="27" t="str">
        <f>IF(Goals!B15="","",Goals!B15)</f>
        <v>Meta 4</v>
      </c>
      <c r="C14" s="9">
        <f>IF(Goals!C15="","",1)</f>
        <v>1</v>
      </c>
      <c r="D14" s="29">
        <f t="shared" si="0"/>
        <v>1</v>
      </c>
      <c r="E14" s="29">
        <f t="shared" si="1"/>
        <v>1</v>
      </c>
      <c r="F14" s="41">
        <f t="shared" si="4"/>
        <v>0.78333333333333321</v>
      </c>
      <c r="G14" s="70">
        <f>IFERROR(AVERAGEIF(D50:D59,"=↑",I50:I59),0)</f>
        <v>0.91666666666666663</v>
      </c>
      <c r="H14" s="73">
        <f>IFERROR(AVERAGEIF(D50:D59,"=↓",I50:I59),0)</f>
        <v>1.25</v>
      </c>
      <c r="I14" s="70">
        <f t="shared" si="2"/>
        <v>0.91666666666666663</v>
      </c>
      <c r="J14" s="87">
        <f t="shared" si="3"/>
        <v>0.64999999999999991</v>
      </c>
    </row>
    <row r="15" spans="2:10">
      <c r="B15" s="27" t="str">
        <f>IF(Goals!B16="","",Goals!B16)</f>
        <v>Meta 5</v>
      </c>
      <c r="C15" s="9">
        <f>IF(Goals!C16="","",1)</f>
        <v>1</v>
      </c>
      <c r="D15" s="29">
        <f t="shared" si="0"/>
        <v>1</v>
      </c>
      <c r="E15" s="29">
        <f t="shared" si="1"/>
        <v>1</v>
      </c>
      <c r="F15" s="41">
        <f t="shared" si="4"/>
        <v>0.83768896447467867</v>
      </c>
      <c r="G15" s="70">
        <f>IFERROR(AVERAGEIF(D60:D69,"=↑",I60:I69),0)</f>
        <v>0.83768896447467867</v>
      </c>
      <c r="H15" s="73">
        <f>IFERROR(AVERAGEIF(D60:D69,"=↓",I60:I69),0)</f>
        <v>0</v>
      </c>
      <c r="I15" s="70">
        <f t="shared" si="2"/>
        <v>0.83768896447467867</v>
      </c>
      <c r="J15" s="87">
        <f t="shared" si="3"/>
        <v>0</v>
      </c>
    </row>
    <row r="16" spans="2:10">
      <c r="B16" s="27" t="str">
        <f>IF(Goals!B17="","",Goals!B17)</f>
        <v>Meta 6</v>
      </c>
      <c r="C16" s="9">
        <f>IF(Goals!C17="","",1)</f>
        <v>1</v>
      </c>
      <c r="D16" s="29">
        <f t="shared" si="0"/>
        <v>2</v>
      </c>
      <c r="E16" s="29">
        <f t="shared" si="1"/>
        <v>0</v>
      </c>
      <c r="F16" s="41">
        <f t="shared" si="4"/>
        <v>0.96851851851851833</v>
      </c>
      <c r="G16" s="70">
        <f>IFERROR(AVERAGEIF(D70:D79,"=↑",I70:I79),0)</f>
        <v>0.96851851851851833</v>
      </c>
      <c r="H16" s="73">
        <f>IFERROR(AVERAGEIF(D70:D79,"=↓",I70:I79),0)</f>
        <v>0</v>
      </c>
      <c r="I16" s="70">
        <f t="shared" si="2"/>
        <v>0.96851851851851833</v>
      </c>
      <c r="J16" s="87">
        <f t="shared" si="3"/>
        <v>0</v>
      </c>
    </row>
    <row r="17" spans="2:11">
      <c r="B17" s="37" t="s">
        <v>109</v>
      </c>
      <c r="C17" s="38">
        <f>SUM(C11:C16)</f>
        <v>6</v>
      </c>
      <c r="D17" s="38">
        <f>SUM(D11:D16)</f>
        <v>7</v>
      </c>
      <c r="E17" s="38">
        <f>SUM(E11:E16)</f>
        <v>3</v>
      </c>
      <c r="F17" s="42">
        <f t="shared" si="4"/>
        <v>0.86654892668793904</v>
      </c>
      <c r="G17" s="72">
        <f>IFERROR(AVERAGEIFS(I20:I79,D20:D79,"↑",I20:I79,"&lt;&gt;0"),0)</f>
        <v>1.008097853375878</v>
      </c>
      <c r="H17" s="74">
        <f>IFERROR(AVERAGEIFS(I20:I79,D20:D79,"↓",I20:I79,"&lt;&gt;0"),0)</f>
        <v>1.2749999999999999</v>
      </c>
      <c r="I17" s="72">
        <f>G17</f>
        <v>1.008097853375878</v>
      </c>
      <c r="J17" s="88">
        <f>IF(H17=0,0,1+1-H17)</f>
        <v>0.72500000000000009</v>
      </c>
    </row>
    <row r="19" spans="2:11">
      <c r="B19" s="33" t="str">
        <f>'O2'!D11</f>
        <v>Áreas estratégicas</v>
      </c>
      <c r="C19" s="34" t="str">
        <f>'O2'!B11</f>
        <v>Objetivos</v>
      </c>
      <c r="D19" s="35" t="str">
        <f>Lan!F48</f>
        <v>Mejor dirección</v>
      </c>
      <c r="E19" s="34" t="str">
        <f>SA!C10</f>
        <v>Áreas estratégicas</v>
      </c>
      <c r="F19" s="35" t="s">
        <v>113</v>
      </c>
      <c r="G19" s="32" t="str">
        <f>'KPI1'!D12</f>
        <v>Actual</v>
      </c>
      <c r="H19" s="32" t="str">
        <f>'KPI1'!D13</f>
        <v>Meta</v>
      </c>
      <c r="I19" s="32" t="str">
        <f>B2</f>
        <v>TOTAL</v>
      </c>
      <c r="J19" s="32" t="s">
        <v>103</v>
      </c>
      <c r="K19" s="36" t="s">
        <v>104</v>
      </c>
    </row>
    <row r="20" spans="2:11">
      <c r="B20" s="18" t="str">
        <f>'O1'!B10</f>
        <v>Meta 1</v>
      </c>
      <c r="C20" s="12" t="str">
        <f>IF('O1'!$B$12="","",'O1'!$B$12)</f>
        <v>Abrir 2 nuevas sucursales en ciudades turísticas del país antes de julio de 2026.</v>
      </c>
      <c r="D20" s="9" t="str">
        <f>IF(B20="","",'O1'!$G$12)</f>
        <v>↑</v>
      </c>
      <c r="E20" s="12" t="str">
        <f>IF(C20="","",'O1'!$D$12)</f>
        <v>Dirección/Gerencia General (Alta Dirección)</v>
      </c>
      <c r="F20" s="9">
        <f>IF(C20="",0,1)</f>
        <v>1</v>
      </c>
      <c r="G20" s="62">
        <f>IF(C20="","",HLOOKUP($B$2,'KPI1'!$E$11:$R$41,2,FALSE))</f>
        <v>678</v>
      </c>
      <c r="H20" s="62">
        <f>IF(C20="","",HLOOKUP($B$2,'KPI1'!$E$11:$R$41,3,FALSE))</f>
        <v>614</v>
      </c>
      <c r="I20" s="21">
        <f>IF(C20="","",HLOOKUP($B$2,'KPI1'!$E$11:$R$41,4,FALSE))</f>
        <v>1.1042345276872965</v>
      </c>
      <c r="J20" s="9">
        <f>IF(I20="",0,IF(AND(I20&gt;=$D$2,D20="↑"),1,IF(AND(I20&lt;$D$2,D20="↓"),1,0)))</f>
        <v>1</v>
      </c>
      <c r="K20" s="22">
        <f t="shared" ref="K20:K79" si="5">IF(AND(I20&gt;=$D$2,D20="↓"),1,IF(AND(I20&lt;$D$2,D20="↑"),1,0))</f>
        <v>0</v>
      </c>
    </row>
    <row r="21" spans="2:11">
      <c r="B21" s="23" t="str">
        <f>B$20</f>
        <v>Meta 1</v>
      </c>
      <c r="C21" t="str">
        <f>IF('O1'!$B$13="","",'O1'!$B$13)</f>
        <v/>
      </c>
      <c r="D21" s="9">
        <f>IF(B21="","",'O1'!$G$13)</f>
        <v>0</v>
      </c>
      <c r="E21" t="str">
        <f>IF(C21="","",'O1'!$D$13)</f>
        <v/>
      </c>
      <c r="F21" s="9">
        <f t="shared" ref="F21:F28" si="6">IF(C21="",0,1)</f>
        <v>0</v>
      </c>
      <c r="G21" s="63" t="str">
        <f>IF(C21="","",HLOOKUP($B$2,'KPI1'!$E$11:$R$41,5,FALSE))</f>
        <v/>
      </c>
      <c r="H21" s="63" t="str">
        <f>IF(C21="","",HLOOKUP($B$2,'KPI1'!$E$11:$R$41,6,FALSE))</f>
        <v/>
      </c>
      <c r="I21" s="21" t="str">
        <f>IF(C21="","",HLOOKUP($B$2,'KPI1'!$E$11:$R$41,7,FALSE))</f>
        <v/>
      </c>
      <c r="J21" s="9">
        <f t="shared" ref="J21:J79" si="7">IF(I21="",0,IF(AND(I21&gt;=$D$2,D21="↑"),1,IF(AND(I21&lt;$D$2,D21="↓"),1,0)))</f>
        <v>0</v>
      </c>
      <c r="K21" s="22">
        <f t="shared" si="5"/>
        <v>0</v>
      </c>
    </row>
    <row r="22" spans="2:11">
      <c r="B22" s="23" t="str">
        <f t="shared" ref="B22:B29" si="8">B$20</f>
        <v>Meta 1</v>
      </c>
      <c r="C22" t="str">
        <f>IF('O1'!$B$14="","",'O1'!$B$14)</f>
        <v/>
      </c>
      <c r="D22" s="9">
        <f>IF(B22="","",'O1'!$G$14)</f>
        <v>0</v>
      </c>
      <c r="E22" t="str">
        <f>IF(C22="","",'O1'!$D$14)</f>
        <v/>
      </c>
      <c r="F22" s="9">
        <f t="shared" si="6"/>
        <v>0</v>
      </c>
      <c r="G22" s="63" t="str">
        <f>IF(C22="","",HLOOKUP($B$2,'KPI1'!$E$11:$R$41,8,FALSE))</f>
        <v/>
      </c>
      <c r="H22" s="63" t="str">
        <f>IF(C22="","",HLOOKUP($B$2,'KPI1'!$E$11:$R$41,9,FALSE))</f>
        <v/>
      </c>
      <c r="I22" s="21" t="str">
        <f>IF(C22="","",HLOOKUP($B$2,'KPI1'!$E$11:$R$41,10,FALSE))</f>
        <v/>
      </c>
      <c r="J22" s="9">
        <f t="shared" si="7"/>
        <v>0</v>
      </c>
      <c r="K22" s="22">
        <f t="shared" si="5"/>
        <v>0</v>
      </c>
    </row>
    <row r="23" spans="2:11">
      <c r="B23" s="23" t="str">
        <f t="shared" si="8"/>
        <v>Meta 1</v>
      </c>
      <c r="C23" t="str">
        <f>IF('O1'!$B$15="","",'O1'!$B$15)</f>
        <v/>
      </c>
      <c r="D23" s="9">
        <f>IF(B23="","",'O1'!$G$15)</f>
        <v>0</v>
      </c>
      <c r="E23" t="str">
        <f>IF(C23="","",'O1'!$D$15)</f>
        <v/>
      </c>
      <c r="F23" s="9">
        <f t="shared" si="6"/>
        <v>0</v>
      </c>
      <c r="G23" s="63" t="str">
        <f>IF(C23="","",HLOOKUP($B$2,'KPI1'!$E$11:$R$41,11,FALSE))</f>
        <v/>
      </c>
      <c r="H23" s="63" t="str">
        <f>IF(C23="","",HLOOKUP($B$2,'KPI1'!$E$11:$R$41,12,FALSE))</f>
        <v/>
      </c>
      <c r="I23" s="21" t="str">
        <f>IF(C23="","",HLOOKUP($B$2,'KPI1'!$E$11:$R$41,13,FALSE))</f>
        <v/>
      </c>
      <c r="J23" s="9">
        <f t="shared" si="7"/>
        <v>0</v>
      </c>
      <c r="K23" s="22">
        <f t="shared" si="5"/>
        <v>0</v>
      </c>
    </row>
    <row r="24" spans="2:11">
      <c r="B24" s="23" t="str">
        <f t="shared" si="8"/>
        <v>Meta 1</v>
      </c>
      <c r="C24" t="str">
        <f>IF('O1'!$B$16="","",'O1'!$B$16)</f>
        <v/>
      </c>
      <c r="D24" s="9">
        <f>IF(B24="","",'O1'!$G$16)</f>
        <v>0</v>
      </c>
      <c r="E24" t="str">
        <f>IF(C24="","",'O1'!$D$16)</f>
        <v/>
      </c>
      <c r="F24" s="9">
        <f t="shared" si="6"/>
        <v>0</v>
      </c>
      <c r="G24" s="63" t="str">
        <f>IF(C24="","",HLOOKUP($B$2,'KPI1'!$E$11:$R$41,14,FALSE))</f>
        <v/>
      </c>
      <c r="H24" s="63" t="str">
        <f>IF(C24="","",HLOOKUP($B$2,'KPI1'!$E$11:$R$41,15,FALSE))</f>
        <v/>
      </c>
      <c r="I24" s="21" t="str">
        <f>IF(C24="","",HLOOKUP($B$2,'KPI1'!$E$11:$R$41,16,FALSE))</f>
        <v/>
      </c>
      <c r="J24" s="9">
        <f t="shared" si="7"/>
        <v>0</v>
      </c>
      <c r="K24" s="22">
        <f t="shared" si="5"/>
        <v>0</v>
      </c>
    </row>
    <row r="25" spans="2:11">
      <c r="B25" s="23" t="str">
        <f t="shared" si="8"/>
        <v>Meta 1</v>
      </c>
      <c r="C25" t="str">
        <f>IF('O1'!$B$17="","",'O1'!$B$17)</f>
        <v/>
      </c>
      <c r="D25" s="9">
        <f>IF(B25="","",'O1'!$G$17)</f>
        <v>0</v>
      </c>
      <c r="E25" t="str">
        <f>IF(C25="","",'O1'!$D$17)</f>
        <v/>
      </c>
      <c r="F25" s="9">
        <f t="shared" si="6"/>
        <v>0</v>
      </c>
      <c r="G25" s="63" t="str">
        <f>IF(C25="","",HLOOKUP($B$2,'KPI1'!$E$11:$R$41,17,FALSE))</f>
        <v/>
      </c>
      <c r="H25" s="63" t="str">
        <f>IF(C25="","",HLOOKUP($B$2,'KPI1'!$E$11:$R$41,18,FALSE))</f>
        <v/>
      </c>
      <c r="I25" s="21" t="str">
        <f>IF(C25="","",HLOOKUP($B$2,'KPI1'!$E$11:$R$41,19,FALSE))</f>
        <v/>
      </c>
      <c r="J25" s="9">
        <f t="shared" si="7"/>
        <v>0</v>
      </c>
      <c r="K25" s="22">
        <f t="shared" si="5"/>
        <v>0</v>
      </c>
    </row>
    <row r="26" spans="2:11">
      <c r="B26" s="23" t="str">
        <f t="shared" si="8"/>
        <v>Meta 1</v>
      </c>
      <c r="C26" t="str">
        <f>IF('O1'!$B$18="","",'O1'!$B$18)</f>
        <v/>
      </c>
      <c r="D26" s="9">
        <f>IF(B26="","",'O1'!$G$18)</f>
        <v>0</v>
      </c>
      <c r="E26" t="str">
        <f>IF(C26="","",'O1'!$D$18)</f>
        <v/>
      </c>
      <c r="F26" s="9">
        <f t="shared" si="6"/>
        <v>0</v>
      </c>
      <c r="G26" s="63" t="str">
        <f>IF(C26="","",HLOOKUP($B$2,'KPI1'!$E$11:$R$41,20,FALSE))</f>
        <v/>
      </c>
      <c r="H26" s="63" t="str">
        <f>IF(C26="","",HLOOKUP($B$2,'KPI1'!$E$11:$R$41,21,FALSE))</f>
        <v/>
      </c>
      <c r="I26" s="21" t="str">
        <f>IF(C26="","",HLOOKUP($B$2,'KPI1'!$E$11:$R$41,22,FALSE))</f>
        <v/>
      </c>
      <c r="J26" s="9">
        <f t="shared" si="7"/>
        <v>0</v>
      </c>
      <c r="K26" s="22">
        <f t="shared" si="5"/>
        <v>0</v>
      </c>
    </row>
    <row r="27" spans="2:11">
      <c r="B27" s="23" t="str">
        <f t="shared" si="8"/>
        <v>Meta 1</v>
      </c>
      <c r="C27" t="str">
        <f>IF('O1'!$B$19="","",'O1'!$B$19)</f>
        <v/>
      </c>
      <c r="D27" s="9">
        <f>IF(B27="","",'O1'!$G$19)</f>
        <v>0</v>
      </c>
      <c r="E27" t="str">
        <f>IF(C27="","",'O1'!$D$19)</f>
        <v/>
      </c>
      <c r="F27" s="9">
        <f t="shared" si="6"/>
        <v>0</v>
      </c>
      <c r="G27" s="63" t="str">
        <f>IF(C27="","",HLOOKUP($B$2,'KPI1'!$E$11:$R$41,23,FALSE))</f>
        <v/>
      </c>
      <c r="H27" s="63" t="str">
        <f>IF(C27="","",HLOOKUP($B$2,'KPI1'!$E$11:$R$41,24,FALSE))</f>
        <v/>
      </c>
      <c r="I27" s="21" t="str">
        <f>IF(C27="","",HLOOKUP($B$2,'KPI1'!$E$11:$R$41,25,FALSE))</f>
        <v/>
      </c>
      <c r="J27" s="9">
        <f t="shared" si="7"/>
        <v>0</v>
      </c>
      <c r="K27" s="22">
        <f t="shared" si="5"/>
        <v>0</v>
      </c>
    </row>
    <row r="28" spans="2:11">
      <c r="B28" s="23" t="str">
        <f t="shared" si="8"/>
        <v>Meta 1</v>
      </c>
      <c r="C28" t="str">
        <f>IF('O1'!$B$20="","",'O1'!$B$20)</f>
        <v/>
      </c>
      <c r="D28" s="9">
        <f>IF(B28="","",'O1'!$G$20)</f>
        <v>0</v>
      </c>
      <c r="E28" t="str">
        <f>IF(C28="","",'O1'!$D$20)</f>
        <v/>
      </c>
      <c r="F28" s="9">
        <f t="shared" si="6"/>
        <v>0</v>
      </c>
      <c r="G28" s="63" t="str">
        <f>IF(C28="","",HLOOKUP($B$2,'KPI1'!$E$11:$R$41,26,FALSE))</f>
        <v/>
      </c>
      <c r="H28" s="63" t="str">
        <f>IF(C28="","",HLOOKUP($B$2,'KPI1'!$E$11:$R$41,27,FALSE))</f>
        <v/>
      </c>
      <c r="I28" s="21" t="str">
        <f>IF(C28="","",HLOOKUP($B$2,'KPI1'!$E$11:$R$41,28,FALSE))</f>
        <v/>
      </c>
      <c r="J28" s="9">
        <f t="shared" si="7"/>
        <v>0</v>
      </c>
      <c r="K28" s="22">
        <f t="shared" si="5"/>
        <v>0</v>
      </c>
    </row>
    <row r="29" spans="2:11">
      <c r="B29" s="23" t="str">
        <f t="shared" si="8"/>
        <v>Meta 1</v>
      </c>
      <c r="C29" s="14" t="str">
        <f>IF('O1'!$B$21="","",'O1'!$B$21)</f>
        <v/>
      </c>
      <c r="D29" s="13">
        <f>IF(B29="","",'O1'!$G$21)</f>
        <v>0</v>
      </c>
      <c r="E29" s="14" t="str">
        <f>IF(C29="","",'O1'!$D$21)</f>
        <v/>
      </c>
      <c r="F29" s="9">
        <f>IF(C29="",0,1)</f>
        <v>0</v>
      </c>
      <c r="G29" s="63" t="str">
        <f>IF(C29="","",HLOOKUP($B$2,'KPI1'!$E$11:$R$41,29,FALSE))</f>
        <v/>
      </c>
      <c r="H29" s="63" t="str">
        <f>IF(C29="","",HLOOKUP($B$2,'KPI1'!$E$11:$R$41,30,FALSE))</f>
        <v/>
      </c>
      <c r="I29" s="21" t="str">
        <f>IF(C29="","",HLOOKUP($B$2,'KPI1'!$E$11:$R$41,31,FALSE))</f>
        <v/>
      </c>
      <c r="J29" s="9">
        <f t="shared" si="7"/>
        <v>0</v>
      </c>
      <c r="K29" s="25">
        <f t="shared" si="5"/>
        <v>0</v>
      </c>
    </row>
    <row r="30" spans="2:11">
      <c r="B30" s="18" t="str">
        <f>'O2'!C$10</f>
        <v>Meta 2</v>
      </c>
      <c r="C30" s="12" t="str">
        <f>IF('O2'!$B$12="","",'O2'!$B$12)</f>
        <v>Reducir en 15% los tiempos de producción promedio por lote para diciembre 2025.</v>
      </c>
      <c r="D30" s="9" t="str">
        <f>IF(B30="","",'O2'!$G$12)</f>
        <v>↓</v>
      </c>
      <c r="E30" s="12" t="str">
        <f>IF(C30="","",'O2'!$D$12)</f>
        <v>Operaciones / Producción</v>
      </c>
      <c r="F30" s="68">
        <f>IF(C30="",0,1)</f>
        <v>1</v>
      </c>
      <c r="G30" s="64">
        <f>IF(C30="","",HLOOKUP($B$2,'KPI2'!$E$11:$R$41,2,FALSE))</f>
        <v>2.1666666666666665</v>
      </c>
      <c r="H30" s="64">
        <f>IF(C30="","",HLOOKUP($B$2,'KPI2'!$E$11:$R$41,3,FALSE))</f>
        <v>1.6666666666666667</v>
      </c>
      <c r="I30" s="69">
        <f>IF(C30="","",HLOOKUP($B$2,'KPI2'!$E$11:$R$41,4,FALSE))</f>
        <v>1.2999999999999998</v>
      </c>
      <c r="J30" s="68">
        <f t="shared" si="7"/>
        <v>0</v>
      </c>
      <c r="K30" s="22">
        <f t="shared" si="5"/>
        <v>1</v>
      </c>
    </row>
    <row r="31" spans="2:11">
      <c r="B31" s="23" t="str">
        <f>B$30</f>
        <v>Meta 2</v>
      </c>
      <c r="C31" t="str">
        <f>IF('O2'!$B$13="","",'O2'!$B$13)</f>
        <v/>
      </c>
      <c r="D31" s="9">
        <f>IF(B31="","",'O2'!$G$13)</f>
        <v>0</v>
      </c>
      <c r="E31" t="str">
        <f>IF(C31="","",'O2'!$D$13)</f>
        <v/>
      </c>
      <c r="F31" s="9">
        <f t="shared" ref="F31:F39" si="9">IF(C31="",0,1)</f>
        <v>0</v>
      </c>
      <c r="G31" s="63" t="str">
        <f>IF(C31="","",HLOOKUP($B$2,'KPI2'!$E$11:$R$41,5,FALSE))</f>
        <v/>
      </c>
      <c r="H31" s="63" t="str">
        <f>IF(C31="","",HLOOKUP($B$2,'KPI2'!$E$11:$R$41,6,FALSE))</f>
        <v/>
      </c>
      <c r="I31" s="21" t="str">
        <f>IF(C31="","",HLOOKUP($B$2,'KPI2'!$E$11:$R$41,7,FALSE))</f>
        <v/>
      </c>
      <c r="J31" s="9">
        <f t="shared" si="7"/>
        <v>0</v>
      </c>
      <c r="K31" s="22">
        <f t="shared" si="5"/>
        <v>0</v>
      </c>
    </row>
    <row r="32" spans="2:11">
      <c r="B32" s="23" t="str">
        <f t="shared" ref="B32:B39" si="10">B$30</f>
        <v>Meta 2</v>
      </c>
      <c r="C32" t="str">
        <f>IF('O2'!$B$13="","",'O2'!$B$14)</f>
        <v/>
      </c>
      <c r="D32" s="9">
        <f>IF(B32="","",'O2'!$G$14)</f>
        <v>0</v>
      </c>
      <c r="E32" t="str">
        <f>IF(C32="","",'O2'!$D$14)</f>
        <v/>
      </c>
      <c r="F32" s="9">
        <f t="shared" si="9"/>
        <v>0</v>
      </c>
      <c r="G32" s="63" t="str">
        <f>IF(C32="","",HLOOKUP($B$2,'KPI2'!$E$11:$R$41,8,FALSE))</f>
        <v/>
      </c>
      <c r="H32" s="63" t="str">
        <f>IF(C32="","",HLOOKUP($B$2,'KPI2'!$E$11:$R$41,9,FALSE))</f>
        <v/>
      </c>
      <c r="I32" s="21" t="str">
        <f>IF(C32="","",HLOOKUP($B$2,'KPI2'!$E$11:$R$41,10,FALSE))</f>
        <v/>
      </c>
      <c r="J32" s="9">
        <f t="shared" si="7"/>
        <v>0</v>
      </c>
      <c r="K32" s="22">
        <f t="shared" si="5"/>
        <v>0</v>
      </c>
    </row>
    <row r="33" spans="2:11">
      <c r="B33" s="23" t="str">
        <f t="shared" si="10"/>
        <v>Meta 2</v>
      </c>
      <c r="C33" t="str">
        <f>IF('O2'!$B$15="","",'O2'!$B$15)</f>
        <v/>
      </c>
      <c r="D33" s="9">
        <f>IF(B33="","",'O2'!$G$15)</f>
        <v>0</v>
      </c>
      <c r="E33" t="str">
        <f>IF(C33="","",'O2'!$D$15)</f>
        <v/>
      </c>
      <c r="F33" s="9">
        <f t="shared" si="9"/>
        <v>0</v>
      </c>
      <c r="G33" s="63" t="str">
        <f>IF(C33="","",HLOOKUP($B$2,'KPI2'!$E$11:$R$41,11,FALSE))</f>
        <v/>
      </c>
      <c r="H33" s="63" t="str">
        <f>IF(C33="","",HLOOKUP($B$2,'KPI2'!$E$11:$R$41,12,FALSE))</f>
        <v/>
      </c>
      <c r="I33" s="21" t="str">
        <f>IF(C33="","",HLOOKUP($B$2,'KPI2'!$E$11:$R$41,13,FALSE))</f>
        <v/>
      </c>
      <c r="J33" s="9">
        <f t="shared" si="7"/>
        <v>0</v>
      </c>
      <c r="K33" s="22">
        <f t="shared" si="5"/>
        <v>0</v>
      </c>
    </row>
    <row r="34" spans="2:11">
      <c r="B34" s="23" t="str">
        <f t="shared" si="10"/>
        <v>Meta 2</v>
      </c>
      <c r="C34" t="str">
        <f>IF('O2'!$B$16="","",'O2'!$B$16)</f>
        <v/>
      </c>
      <c r="D34" s="9">
        <f>IF(B34="","",'O2'!$G$16)</f>
        <v>0</v>
      </c>
      <c r="E34" t="str">
        <f>IF(C34="","",'O2'!$D$16)</f>
        <v/>
      </c>
      <c r="F34" s="9">
        <f t="shared" si="9"/>
        <v>0</v>
      </c>
      <c r="G34" s="63" t="str">
        <f>IF(C34="","",HLOOKUP($B$2,'KPI2'!$E$11:$R$41,14,FALSE))</f>
        <v/>
      </c>
      <c r="H34" s="63" t="str">
        <f>IF(C34="","",HLOOKUP($B$2,'KPI2'!$E$11:$R$41,15,FALSE))</f>
        <v/>
      </c>
      <c r="I34" s="21" t="str">
        <f>IF(C34="","",HLOOKUP($B$2,'KPI2'!$E$11:$R$41,16,FALSE))</f>
        <v/>
      </c>
      <c r="J34" s="9">
        <f t="shared" si="7"/>
        <v>0</v>
      </c>
      <c r="K34" s="22">
        <f t="shared" si="5"/>
        <v>0</v>
      </c>
    </row>
    <row r="35" spans="2:11">
      <c r="B35" s="23" t="str">
        <f t="shared" si="10"/>
        <v>Meta 2</v>
      </c>
      <c r="C35" t="str">
        <f>IF('O2'!$B$17="","",'O2'!$B$17)</f>
        <v/>
      </c>
      <c r="D35" s="9">
        <f>IF(B35="","",'O2'!$G$17)</f>
        <v>0</v>
      </c>
      <c r="E35" t="str">
        <f>IF(C35="","",'O2'!$D$17)</f>
        <v/>
      </c>
      <c r="F35" s="9">
        <f t="shared" si="9"/>
        <v>0</v>
      </c>
      <c r="G35" s="63" t="str">
        <f>IF(C35="","",HLOOKUP($B$2,'KPI2'!$E$11:$R$41,17,FALSE))</f>
        <v/>
      </c>
      <c r="H35" s="63" t="str">
        <f>IF(C35="","",HLOOKUP($B$2,'KPI2'!$E$11:$R$41,18,FALSE))</f>
        <v/>
      </c>
      <c r="I35" s="21" t="str">
        <f>IF(C35="","",HLOOKUP($B$2,'KPI2'!$E$11:$R$41,19,FALSE))</f>
        <v/>
      </c>
      <c r="J35" s="9">
        <f t="shared" si="7"/>
        <v>0</v>
      </c>
      <c r="K35" s="22">
        <f t="shared" si="5"/>
        <v>0</v>
      </c>
    </row>
    <row r="36" spans="2:11">
      <c r="B36" s="23" t="str">
        <f t="shared" si="10"/>
        <v>Meta 2</v>
      </c>
      <c r="C36" t="str">
        <f>IF('O2'!$B$18="","",'O2'!$B$18)</f>
        <v/>
      </c>
      <c r="D36" s="9">
        <f>IF(B36="","",'O2'!$G$18)</f>
        <v>0</v>
      </c>
      <c r="E36" t="str">
        <f>IF(C36="","",'O2'!$D$18)</f>
        <v/>
      </c>
      <c r="F36" s="9">
        <f t="shared" si="9"/>
        <v>0</v>
      </c>
      <c r="G36" s="63" t="str">
        <f>IF(C36="","",HLOOKUP($B$2,'KPI2'!$E$11:$R$41,20,FALSE))</f>
        <v/>
      </c>
      <c r="H36" s="63" t="str">
        <f>IF(C36="","",HLOOKUP($B$2,'KPI2'!$E$11:$R$41,21,FALSE))</f>
        <v/>
      </c>
      <c r="I36" s="21" t="str">
        <f>IF(C36="","",HLOOKUP($B$2,'KPI2'!$E$11:$R$41,22,FALSE))</f>
        <v/>
      </c>
      <c r="J36" s="9">
        <f t="shared" si="7"/>
        <v>0</v>
      </c>
      <c r="K36" s="22">
        <f t="shared" si="5"/>
        <v>0</v>
      </c>
    </row>
    <row r="37" spans="2:11">
      <c r="B37" s="23" t="str">
        <f t="shared" si="10"/>
        <v>Meta 2</v>
      </c>
      <c r="C37" t="str">
        <f>IF('O2'!$B$19="","",'O2'!$B$19)</f>
        <v/>
      </c>
      <c r="D37" s="9">
        <f>IF(B37="","",'O2'!$G$19)</f>
        <v>0</v>
      </c>
      <c r="E37" t="str">
        <f>IF(C37="","",'O2'!$D$19)</f>
        <v/>
      </c>
      <c r="F37" s="9">
        <f t="shared" si="9"/>
        <v>0</v>
      </c>
      <c r="G37" s="63" t="str">
        <f>IF(C37="","",HLOOKUP($B$2,'KPI2'!$E$11:$R$41,23,FALSE))</f>
        <v/>
      </c>
      <c r="H37" s="63" t="str">
        <f>IF(C37="","",HLOOKUP($B$2,'KPI2'!$E$11:$R$41,24,FALSE))</f>
        <v/>
      </c>
      <c r="I37" s="21" t="str">
        <f>IF(C37="","",HLOOKUP($B$2,'KPI2'!$E$11:$R$41,25,FALSE))</f>
        <v/>
      </c>
      <c r="J37" s="9">
        <f t="shared" si="7"/>
        <v>0</v>
      </c>
      <c r="K37" s="22">
        <f t="shared" si="5"/>
        <v>0</v>
      </c>
    </row>
    <row r="38" spans="2:11">
      <c r="B38" s="23" t="str">
        <f t="shared" si="10"/>
        <v>Meta 2</v>
      </c>
      <c r="C38" t="str">
        <f>IF('O2'!$B$20="","",'O2'!$B$20)</f>
        <v/>
      </c>
      <c r="D38" s="9">
        <f>IF(B38="","",'O2'!$G$20)</f>
        <v>0</v>
      </c>
      <c r="E38" t="str">
        <f>IF(C38="","",'O2'!$D$20)</f>
        <v/>
      </c>
      <c r="F38" s="9">
        <f t="shared" si="9"/>
        <v>0</v>
      </c>
      <c r="G38" s="63" t="str">
        <f>IF(C38="","",HLOOKUP($B$2,'KPI2'!$E$11:$R$41,26,FALSE))</f>
        <v/>
      </c>
      <c r="H38" s="63" t="str">
        <f>IF(C38="","",HLOOKUP($B$2,'KPI2'!$E$11:$R$41,27,FALSE))</f>
        <v/>
      </c>
      <c r="I38" s="21" t="str">
        <f>IF(C38="","",HLOOKUP($B$2,'KPI2'!$E$11:$R$41,28,FALSE))</f>
        <v/>
      </c>
      <c r="J38" s="9">
        <f t="shared" si="7"/>
        <v>0</v>
      </c>
      <c r="K38" s="22">
        <f t="shared" si="5"/>
        <v>0</v>
      </c>
    </row>
    <row r="39" spans="2:11">
      <c r="B39" s="24" t="str">
        <f t="shared" si="10"/>
        <v>Meta 2</v>
      </c>
      <c r="C39" s="14" t="str">
        <f>IF('O2'!$B$21="","",'O2'!$B$21)</f>
        <v/>
      </c>
      <c r="D39" s="13">
        <f>IF(B39="","",'O2'!$G$21)</f>
        <v>0</v>
      </c>
      <c r="E39" s="14" t="str">
        <f>IF(C39="","",'O2'!$D$21)</f>
        <v/>
      </c>
      <c r="F39" s="13">
        <f t="shared" si="9"/>
        <v>0</v>
      </c>
      <c r="G39" s="65" t="str">
        <f>IF(C39="","",HLOOKUP($B$2,'KPI2'!$E$11:$R$41,29,FALSE))</f>
        <v/>
      </c>
      <c r="H39" s="65" t="str">
        <f>IF(C39="","",HLOOKUP($B$2,'KPI2'!$E$11:$R$41,30,FALSE))</f>
        <v/>
      </c>
      <c r="I39" s="15" t="str">
        <f>IF(C39="","",HLOOKUP($B$2,'KPI2'!$E$11:$R$41,31,FALSE))</f>
        <v/>
      </c>
      <c r="J39" s="13">
        <f t="shared" si="7"/>
        <v>0</v>
      </c>
      <c r="K39" s="25">
        <f t="shared" si="5"/>
        <v>0</v>
      </c>
    </row>
    <row r="40" spans="2:11">
      <c r="B40" s="18" t="str">
        <f>'O3'!D$10</f>
        <v>Meta 3</v>
      </c>
      <c r="C40" s="12" t="str">
        <f>IF('O3'!$B$12="","",'O3'!$B$12)</f>
        <v>Incrementar en 30% el reconocimiento de marca en redes sociales antes de junio de 2026.</v>
      </c>
      <c r="D40" s="9" t="str">
        <f>IF(B40="","",'O3'!$G$12)</f>
        <v>↑</v>
      </c>
      <c r="E40" s="12" t="str">
        <f>IF(C40="","",'O3'!$D$12)</f>
        <v>Comercialización (Marketing y Ventas)</v>
      </c>
      <c r="F40" s="9">
        <f>IF(C40="",0,1)</f>
        <v>1</v>
      </c>
      <c r="G40" s="64">
        <f>IF(C40="","",HLOOKUP($B$2,'KPI3'!$E$11:$R$41,2,FALSE))</f>
        <v>14523</v>
      </c>
      <c r="H40" s="64">
        <f>IF(C40="","",HLOOKUP($B$2,'KPI3'!$E$11:$R$41,3,FALSE))</f>
        <v>10000</v>
      </c>
      <c r="I40" s="69">
        <f>IF(C40="","",HLOOKUP($B$2,'KPI3'!$E$11:$R$41,4,FALSE))</f>
        <v>1.4522999999999999</v>
      </c>
      <c r="J40" s="9">
        <f t="shared" si="7"/>
        <v>1</v>
      </c>
      <c r="K40" s="22">
        <f t="shared" si="5"/>
        <v>0</v>
      </c>
    </row>
    <row r="41" spans="2:11">
      <c r="B41" s="23" t="str">
        <f>B40</f>
        <v>Meta 3</v>
      </c>
      <c r="C41" t="str">
        <f>IF('O3'!$B$13="","",'O3'!$B$13)</f>
        <v>Lograr que 60% de los visitantes recomienden nuestros productos en encuestas de salida para diciembre de 2025.</v>
      </c>
      <c r="D41" s="9" t="str">
        <f>IF(B41="","",'O3'!$G$13)</f>
        <v>↑</v>
      </c>
      <c r="E41" t="str">
        <f>IF(C41="","",'O3'!$D$13)</f>
        <v>Comercialización (Marketing y Ventas)</v>
      </c>
      <c r="F41" s="9">
        <f t="shared" ref="F41:F49" si="11">IF(C41="",0,1)</f>
        <v>1</v>
      </c>
      <c r="G41" s="63">
        <f>IF(C41="","",HLOOKUP($B$2,'KPI3'!$E$11:$R$41,5,FALSE))</f>
        <v>7.833333333333333</v>
      </c>
      <c r="H41" s="63">
        <f>IF(C41="","",HLOOKUP($B$2,'KPI3'!$E$11:$R$41,6,FALSE))</f>
        <v>8</v>
      </c>
      <c r="I41" s="21">
        <f>IF(C41="","",HLOOKUP($B$2,'KPI3'!$E$11:$R$41,7,FALSE))</f>
        <v>0.97916666666666663</v>
      </c>
      <c r="J41" s="9">
        <f t="shared" si="7"/>
        <v>1</v>
      </c>
      <c r="K41" s="22">
        <f t="shared" si="5"/>
        <v>0</v>
      </c>
    </row>
    <row r="42" spans="2:11">
      <c r="B42" s="23" t="str">
        <f t="shared" ref="B42:B49" si="12">B41</f>
        <v>Meta 3</v>
      </c>
      <c r="C42">
        <f>IF('O3'!$B$13="","",'O3'!$B$14)</f>
        <v>0</v>
      </c>
      <c r="D42" s="9">
        <f>IF(B42="","",'O3'!$G$14)</f>
        <v>0</v>
      </c>
      <c r="E42">
        <f>IF(C42="","",'O3'!$D$14)</f>
        <v>0</v>
      </c>
      <c r="F42" s="9">
        <f t="shared" si="11"/>
        <v>1</v>
      </c>
      <c r="G42" s="63" t="str">
        <f>IF(C42="","",HLOOKUP($B$2,'KPI3'!$E$11:$R$41,8,FALSE))</f>
        <v/>
      </c>
      <c r="H42" s="63" t="str">
        <f>IF(C42="","",HLOOKUP($B$2,'KPI3'!$E$11:$R$41,9,FALSE))</f>
        <v/>
      </c>
      <c r="I42" s="21" t="str">
        <f>IF(C42="","",HLOOKUP($B$2,'KPI3'!$E$11:$R$41,10,FALSE))</f>
        <v/>
      </c>
      <c r="J42" s="9">
        <f t="shared" si="7"/>
        <v>0</v>
      </c>
      <c r="K42" s="22">
        <f t="shared" si="5"/>
        <v>0</v>
      </c>
    </row>
    <row r="43" spans="2:11">
      <c r="B43" s="23" t="str">
        <f t="shared" si="12"/>
        <v>Meta 3</v>
      </c>
      <c r="C43" t="str">
        <f>IF('O3'!$B$15="","",'O3'!$B$15)</f>
        <v/>
      </c>
      <c r="D43" s="9">
        <f>IF(B43="","",'O3'!$G$15)</f>
        <v>0</v>
      </c>
      <c r="E43" t="str">
        <f>IF(C43="","",'O3'!$D$15)</f>
        <v/>
      </c>
      <c r="F43" s="9">
        <f t="shared" si="11"/>
        <v>0</v>
      </c>
      <c r="G43" s="63" t="str">
        <f>IF(C43="","",HLOOKUP($B$2,'KPI3'!$E$11:$R$41,11,FALSE))</f>
        <v/>
      </c>
      <c r="H43" s="63" t="str">
        <f>IF(C43="","",HLOOKUP($B$2,'KPI3'!$E$11:$R$41,12,FALSE))</f>
        <v/>
      </c>
      <c r="I43" s="21" t="str">
        <f>IF(C43="","",HLOOKUP($B$2,'KPI3'!$E$11:$R$41,13,FALSE))</f>
        <v/>
      </c>
      <c r="J43" s="9">
        <f t="shared" si="7"/>
        <v>0</v>
      </c>
      <c r="K43" s="22">
        <f t="shared" si="5"/>
        <v>0</v>
      </c>
    </row>
    <row r="44" spans="2:11">
      <c r="B44" s="23" t="str">
        <f t="shared" si="12"/>
        <v>Meta 3</v>
      </c>
      <c r="C44" t="str">
        <f>IF('O3'!$B$16="","",'O3'!$B$16)</f>
        <v/>
      </c>
      <c r="D44" s="9">
        <f>IF(B44="","",'O3'!$G$16)</f>
        <v>0</v>
      </c>
      <c r="E44" t="str">
        <f>IF(C44="","",'O3'!$D$16)</f>
        <v/>
      </c>
      <c r="F44" s="9">
        <f t="shared" si="11"/>
        <v>0</v>
      </c>
      <c r="G44" s="63" t="str">
        <f>IF(C44="","",HLOOKUP($B$2,'KPI3'!$E$11:$R$41,14,FALSE))</f>
        <v/>
      </c>
      <c r="H44" s="63" t="str">
        <f>IF(C44="","",HLOOKUP($B$2,'KPI3'!$E$11:$R$41,15,FALSE))</f>
        <v/>
      </c>
      <c r="I44" s="21" t="str">
        <f>IF(C44="","",HLOOKUP($B$2,'KPI3'!$E$11:$R$41,16,FALSE))</f>
        <v/>
      </c>
      <c r="J44" s="9">
        <f t="shared" si="7"/>
        <v>0</v>
      </c>
      <c r="K44" s="22">
        <f t="shared" si="5"/>
        <v>0</v>
      </c>
    </row>
    <row r="45" spans="2:11">
      <c r="B45" s="23" t="str">
        <f t="shared" si="12"/>
        <v>Meta 3</v>
      </c>
      <c r="C45" t="str">
        <f>IF('O3'!$B$17="","",'O3'!$B$17)</f>
        <v/>
      </c>
      <c r="D45" s="9">
        <f>IF(B45="","",'O3'!$G$17)</f>
        <v>0</v>
      </c>
      <c r="E45" t="str">
        <f>IF(C45="","",'O3'!$D$17)</f>
        <v/>
      </c>
      <c r="F45" s="9">
        <f t="shared" si="11"/>
        <v>0</v>
      </c>
      <c r="G45" s="63" t="str">
        <f>IF(C45="","",HLOOKUP($B$2,'KPI3'!$E$11:$R$41,17,FALSE))</f>
        <v/>
      </c>
      <c r="H45" s="63" t="str">
        <f>IF(C45="","",HLOOKUP($B$2,'KPI3'!$E$11:$R$41,18,FALSE))</f>
        <v/>
      </c>
      <c r="I45" s="21" t="str">
        <f>IF(C45="","",HLOOKUP($B$2,'KPI3'!$E$11:$R$41,19,FALSE))</f>
        <v/>
      </c>
      <c r="J45" s="9">
        <f t="shared" si="7"/>
        <v>0</v>
      </c>
      <c r="K45" s="22">
        <f t="shared" si="5"/>
        <v>0</v>
      </c>
    </row>
    <row r="46" spans="2:11">
      <c r="B46" s="23" t="str">
        <f t="shared" si="12"/>
        <v>Meta 3</v>
      </c>
      <c r="C46" t="str">
        <f>IF('O3'!$B$18="","",'O3'!$B$18)</f>
        <v/>
      </c>
      <c r="D46" s="9">
        <f>IF(B46="","",'O3'!$G$18)</f>
        <v>0</v>
      </c>
      <c r="E46" t="str">
        <f>IF(C46="","",'O3'!$D$18)</f>
        <v/>
      </c>
      <c r="F46" s="9">
        <f t="shared" si="11"/>
        <v>0</v>
      </c>
      <c r="G46" s="63" t="str">
        <f>IF(C46="","",HLOOKUP($B$2,'KPI3'!$E$11:$R$41,20,FALSE))</f>
        <v/>
      </c>
      <c r="H46" s="63" t="str">
        <f>IF(C46="","",HLOOKUP($B$2,'KPI3'!$E$11:$R$41,21,FALSE))</f>
        <v/>
      </c>
      <c r="I46" s="21" t="str">
        <f>IF(C46="","",HLOOKUP($B$2,'KPI3'!$E$11:$R$41,22,FALSE))</f>
        <v/>
      </c>
      <c r="J46" s="9">
        <f t="shared" si="7"/>
        <v>0</v>
      </c>
      <c r="K46" s="22">
        <f t="shared" si="5"/>
        <v>0</v>
      </c>
    </row>
    <row r="47" spans="2:11">
      <c r="B47" s="23" t="str">
        <f t="shared" si="12"/>
        <v>Meta 3</v>
      </c>
      <c r="C47" t="str">
        <f>IF('O3'!$B$19="","",'O3'!$B$19)</f>
        <v/>
      </c>
      <c r="D47" s="9">
        <f>IF(B47="","",'O3'!$G$19)</f>
        <v>0</v>
      </c>
      <c r="E47" t="str">
        <f>IF(C47="","",'O3'!$D$19)</f>
        <v/>
      </c>
      <c r="F47" s="9">
        <f t="shared" si="11"/>
        <v>0</v>
      </c>
      <c r="G47" s="63" t="str">
        <f>IF(C47="","",HLOOKUP($B$2,'KPI3'!$E$11:$R$41,23,FALSE))</f>
        <v/>
      </c>
      <c r="H47" s="63" t="str">
        <f>IF(C47="","",HLOOKUP($B$2,'KPI3'!$E$11:$R$41,24,FALSE))</f>
        <v/>
      </c>
      <c r="I47" s="21" t="str">
        <f>IF(C47="","",HLOOKUP($B$2,'KPI3'!$E$11:$R$41,25,FALSE))</f>
        <v/>
      </c>
      <c r="J47" s="9">
        <f t="shared" si="7"/>
        <v>0</v>
      </c>
      <c r="K47" s="22">
        <f t="shared" si="5"/>
        <v>0</v>
      </c>
    </row>
    <row r="48" spans="2:11">
      <c r="B48" s="23" t="str">
        <f t="shared" si="12"/>
        <v>Meta 3</v>
      </c>
      <c r="C48" t="str">
        <f>IF('O3'!$B$20="","",'O3'!$B$20)</f>
        <v/>
      </c>
      <c r="D48" s="9">
        <f>IF(B48="","",'O3'!$G$20)</f>
        <v>0</v>
      </c>
      <c r="E48" t="str">
        <f>IF(C48="","",'O3'!$D$20)</f>
        <v/>
      </c>
      <c r="F48" s="9">
        <f t="shared" si="11"/>
        <v>0</v>
      </c>
      <c r="G48" s="63" t="str">
        <f>IF(C48="","",HLOOKUP($B$2,'KPI3'!$E$11:$R$41,26,FALSE))</f>
        <v/>
      </c>
      <c r="H48" s="63" t="str">
        <f>IF(C48="","",HLOOKUP($B$2,'KPI3'!$E$11:$R$41,27,FALSE))</f>
        <v/>
      </c>
      <c r="I48" s="21" t="str">
        <f>IF(C48="","",HLOOKUP($B$2,'KPI3'!$E$11:$R$41,28,FALSE))</f>
        <v/>
      </c>
      <c r="J48" s="9">
        <f t="shared" si="7"/>
        <v>0</v>
      </c>
      <c r="K48" s="22">
        <f t="shared" si="5"/>
        <v>0</v>
      </c>
    </row>
    <row r="49" spans="2:11">
      <c r="B49" s="23" t="str">
        <f t="shared" si="12"/>
        <v>Meta 3</v>
      </c>
      <c r="C49" s="14" t="str">
        <f>IF('O3'!$B$21="","",'O3'!$B$21)</f>
        <v/>
      </c>
      <c r="D49" s="13">
        <f>IF(B49="","",'O3'!$G$21)</f>
        <v>0</v>
      </c>
      <c r="E49" s="14" t="str">
        <f>IF(C49="","",'O3'!$D$21)</f>
        <v/>
      </c>
      <c r="F49" s="13">
        <f t="shared" si="11"/>
        <v>0</v>
      </c>
      <c r="G49" s="65" t="str">
        <f>IF(C49="","",HLOOKUP($B$2,'KPI3'!$E$11:$R$41,29,FALSE))</f>
        <v/>
      </c>
      <c r="H49" s="65" t="str">
        <f>IF(C49="","",HLOOKUP($B$2,'KPI3'!$E$11:$R$41,30,FALSE))</f>
        <v/>
      </c>
      <c r="I49" s="15" t="str">
        <f>IF(C49="","",HLOOKUP($B$2,'KPI3'!$E$11:$R$41,31,FALSE))</f>
        <v/>
      </c>
      <c r="J49" s="13">
        <f t="shared" si="7"/>
        <v>0</v>
      </c>
      <c r="K49" s="25">
        <f t="shared" si="5"/>
        <v>0</v>
      </c>
    </row>
    <row r="50" spans="2:11">
      <c r="B50" s="18" t="str">
        <f>'O4'!E$10</f>
        <v>Meta 4</v>
      </c>
      <c r="C50" s="12" t="str">
        <f>IF('O4'!$B$12="","",'O4'!$B$12)</f>
        <v>Obtener la certificación de Buenas Prácticas de Manufactura antes de noviembre de 2026.</v>
      </c>
      <c r="D50" s="9" t="str">
        <f>IF(B50="","",'O4'!$G$12)</f>
        <v>↑</v>
      </c>
      <c r="E50" s="12" t="str">
        <f>IF(C50="","",'O4'!$D$12)</f>
        <v>Administración</v>
      </c>
      <c r="F50" s="9">
        <f>IF(C50="",0,1)</f>
        <v>1</v>
      </c>
      <c r="G50" s="64">
        <f>IF(C50="","",HLOOKUP($B$2,'KPI4'!$E$11:$R$41,2,FALSE))</f>
        <v>0.54999999999999993</v>
      </c>
      <c r="H50" s="64">
        <f>IF(C50="","",HLOOKUP($B$2,'KPI4'!$E$11:$R$41,3,FALSE))</f>
        <v>0.6</v>
      </c>
      <c r="I50" s="69">
        <f>IF(C50="","",HLOOKUP($B$2,'KPI4'!$E$11:$R$41,4,FALSE))</f>
        <v>0.91666666666666663</v>
      </c>
      <c r="J50" s="9">
        <f t="shared" si="7"/>
        <v>1</v>
      </c>
      <c r="K50" s="22">
        <f t="shared" si="5"/>
        <v>0</v>
      </c>
    </row>
    <row r="51" spans="2:11">
      <c r="B51" s="23" t="str">
        <f>B50</f>
        <v>Meta 4</v>
      </c>
      <c r="C51" t="str">
        <f>IF('O4'!$B$13="","",'O4'!$B$13)</f>
        <v>Reducir en 50% las devoluciones por defectos en producto para diciembre de 2025.</v>
      </c>
      <c r="D51" s="9" t="str">
        <f>IF(B51="","",'O4'!$G$13)</f>
        <v>↓</v>
      </c>
      <c r="E51" t="str">
        <f>IF(C51="","",'O4'!$D$13)</f>
        <v>Operaciones / Producción</v>
      </c>
      <c r="F51" s="9">
        <f t="shared" ref="F51:F59" si="13">IF(C51="",0,1)</f>
        <v>1</v>
      </c>
      <c r="G51" s="63">
        <f>IF(C51="","",HLOOKUP($B$2,'KPI4'!$E$11:$R$41,5,FALSE))</f>
        <v>2.5000000000000001E-2</v>
      </c>
      <c r="H51" s="63">
        <f>IF(C51="","",HLOOKUP($B$2,'KPI4'!$E$11:$R$41,6,FALSE))</f>
        <v>0.02</v>
      </c>
      <c r="I51" s="21">
        <f>IF(C51="","",HLOOKUP($B$2,'KPI4'!$E$11:$R$41,7,FALSE))</f>
        <v>1.25</v>
      </c>
      <c r="J51" s="9">
        <f t="shared" si="7"/>
        <v>0</v>
      </c>
      <c r="K51" s="22">
        <f t="shared" si="5"/>
        <v>1</v>
      </c>
    </row>
    <row r="52" spans="2:11">
      <c r="B52" s="23" t="str">
        <f t="shared" ref="B52:B59" si="14">B51</f>
        <v>Meta 4</v>
      </c>
      <c r="C52">
        <f>IF('O4'!$B$13="","",'O4'!$B$14)</f>
        <v>0</v>
      </c>
      <c r="D52" s="9">
        <f>IF(B52="","",'O4'!$G$14)</f>
        <v>0</v>
      </c>
      <c r="E52">
        <f>IF(C52="","",'O4'!$D$14)</f>
        <v>0</v>
      </c>
      <c r="F52" s="9">
        <f t="shared" si="13"/>
        <v>1</v>
      </c>
      <c r="G52" s="63" t="str">
        <f>IF(C52="","",HLOOKUP($B$2,'KPI4'!$E$11:$R$41,8,FALSE))</f>
        <v/>
      </c>
      <c r="H52" s="63" t="str">
        <f>IF(C52="","",HLOOKUP($B$2,'KPI4'!$E$11:$R$41,9,FALSE))</f>
        <v/>
      </c>
      <c r="I52" s="21" t="str">
        <f>IF(C52="","",HLOOKUP($B$2,'KPI4'!$E$11:$R$41,10,FALSE))</f>
        <v/>
      </c>
      <c r="J52" s="9">
        <f t="shared" si="7"/>
        <v>0</v>
      </c>
      <c r="K52" s="22">
        <f t="shared" si="5"/>
        <v>0</v>
      </c>
    </row>
    <row r="53" spans="2:11">
      <c r="B53" s="23" t="str">
        <f t="shared" si="14"/>
        <v>Meta 4</v>
      </c>
      <c r="C53" t="str">
        <f>IF('O4'!$B$15="","",'O4'!$B$15)</f>
        <v/>
      </c>
      <c r="D53" s="9">
        <f>IF(B53="","",'O4'!$G$15)</f>
        <v>0</v>
      </c>
      <c r="E53" t="str">
        <f>IF(C53="","",'O4'!$D$15)</f>
        <v/>
      </c>
      <c r="F53" s="9">
        <f t="shared" si="13"/>
        <v>0</v>
      </c>
      <c r="G53" s="63" t="str">
        <f>IF(C53="","",HLOOKUP($B$2,'KPI4'!$E$11:$R$41,11,FALSE))</f>
        <v/>
      </c>
      <c r="H53" s="63" t="str">
        <f>IF(C53="","",HLOOKUP($B$2,'KPI4'!$E$11:$R$41,12,FALSE))</f>
        <v/>
      </c>
      <c r="I53" s="21" t="str">
        <f>IF(C53="","",HLOOKUP($B$2,'KPI4'!$E$11:$R$41,13,FALSE))</f>
        <v/>
      </c>
      <c r="J53" s="9">
        <f t="shared" si="7"/>
        <v>0</v>
      </c>
      <c r="K53" s="22">
        <f t="shared" si="5"/>
        <v>0</v>
      </c>
    </row>
    <row r="54" spans="2:11">
      <c r="B54" s="23" t="str">
        <f t="shared" si="14"/>
        <v>Meta 4</v>
      </c>
      <c r="C54" t="str">
        <f>IF('O4'!$B$16="","",'O4'!$B$16)</f>
        <v/>
      </c>
      <c r="D54" s="9">
        <f>IF(B54="","",'O4'!$G$16)</f>
        <v>0</v>
      </c>
      <c r="E54" t="str">
        <f>IF(C54="","",'O4'!$D$16)</f>
        <v/>
      </c>
      <c r="F54" s="9">
        <f t="shared" si="13"/>
        <v>0</v>
      </c>
      <c r="G54" s="63" t="str">
        <f>IF(C54="","",HLOOKUP($B$2,'KPI4'!$E$11:$R$41,14,FALSE))</f>
        <v/>
      </c>
      <c r="H54" s="63" t="str">
        <f>IF(C54="","",HLOOKUP($B$2,'KPI4'!$E$11:$R$41,15,FALSE))</f>
        <v/>
      </c>
      <c r="I54" s="21" t="str">
        <f>IF(C54="","",HLOOKUP($B$2,'KPI4'!$E$11:$R$41,16,FALSE))</f>
        <v/>
      </c>
      <c r="J54" s="9">
        <f t="shared" si="7"/>
        <v>0</v>
      </c>
      <c r="K54" s="22">
        <f t="shared" si="5"/>
        <v>0</v>
      </c>
    </row>
    <row r="55" spans="2:11">
      <c r="B55" s="23" t="str">
        <f t="shared" si="14"/>
        <v>Meta 4</v>
      </c>
      <c r="C55" t="str">
        <f>IF('O4'!$B$17="","",'O4'!$B$17)</f>
        <v/>
      </c>
      <c r="D55" s="9">
        <f>IF(B55="","",'O4'!$G$17)</f>
        <v>0</v>
      </c>
      <c r="E55" t="str">
        <f>IF(C55="","",'O4'!$D$17)</f>
        <v/>
      </c>
      <c r="F55" s="9">
        <f t="shared" si="13"/>
        <v>0</v>
      </c>
      <c r="G55" s="63" t="str">
        <f>IF(C55="","",HLOOKUP($B$2,'KPI4'!$E$11:$R$41,17,FALSE))</f>
        <v/>
      </c>
      <c r="H55" s="63" t="str">
        <f>IF(C55="","",HLOOKUP($B$2,'KPI4'!$E$11:$R$41,18,FALSE))</f>
        <v/>
      </c>
      <c r="I55" s="21" t="str">
        <f>IF(C55="","",HLOOKUP($B$2,'KPI4'!$E$11:$R$41,19,FALSE))</f>
        <v/>
      </c>
      <c r="J55" s="9">
        <f t="shared" si="7"/>
        <v>0</v>
      </c>
      <c r="K55" s="22">
        <f t="shared" si="5"/>
        <v>0</v>
      </c>
    </row>
    <row r="56" spans="2:11">
      <c r="B56" s="23" t="str">
        <f t="shared" si="14"/>
        <v>Meta 4</v>
      </c>
      <c r="C56" t="str">
        <f>IF('O4'!$B$18="","",'O4'!$B$18)</f>
        <v/>
      </c>
      <c r="D56" s="9">
        <f>IF(B56="","",'O4'!$G$18)</f>
        <v>0</v>
      </c>
      <c r="E56" t="str">
        <f>IF(C56="","",'O4'!$D$18)</f>
        <v/>
      </c>
      <c r="F56" s="9">
        <f t="shared" si="13"/>
        <v>0</v>
      </c>
      <c r="G56" s="63" t="str">
        <f>IF(C56="","",HLOOKUP($B$2,'KPI4'!$E$11:$R$41,20,FALSE))</f>
        <v/>
      </c>
      <c r="H56" s="63" t="str">
        <f>IF(C56="","",HLOOKUP($B$2,'KPI4'!$E$11:$R$41,21,FALSE))</f>
        <v/>
      </c>
      <c r="I56" s="21" t="str">
        <f>IF(C56="","",HLOOKUP($B$2,'KPI4'!$E$11:$R$41,22,FALSE))</f>
        <v/>
      </c>
      <c r="J56" s="9">
        <f t="shared" si="7"/>
        <v>0</v>
      </c>
      <c r="K56" s="22">
        <f t="shared" si="5"/>
        <v>0</v>
      </c>
    </row>
    <row r="57" spans="2:11">
      <c r="B57" s="23" t="str">
        <f t="shared" si="14"/>
        <v>Meta 4</v>
      </c>
      <c r="C57" t="str">
        <f>IF('O4'!$B$19="","",'O4'!$B$19)</f>
        <v/>
      </c>
      <c r="D57" s="9">
        <f>IF(B57="","",'O4'!$G$19)</f>
        <v>0</v>
      </c>
      <c r="E57" t="str">
        <f>IF(C57="","",'O4'!$D$19)</f>
        <v/>
      </c>
      <c r="F57" s="9">
        <f t="shared" si="13"/>
        <v>0</v>
      </c>
      <c r="G57" s="63" t="str">
        <f>IF(C57="","",HLOOKUP($B$2,'KPI4'!$E$11:$R$41,23,FALSE))</f>
        <v/>
      </c>
      <c r="H57" s="63" t="str">
        <f>IF(C57="","",HLOOKUP($B$2,'KPI4'!$E$11:$R$41,24,FALSE))</f>
        <v/>
      </c>
      <c r="I57" s="21" t="str">
        <f>IF(C57="","",HLOOKUP($B$2,'KPI4'!$E$11:$R$41,25,FALSE))</f>
        <v/>
      </c>
      <c r="J57" s="9">
        <f t="shared" si="7"/>
        <v>0</v>
      </c>
      <c r="K57" s="22">
        <f t="shared" si="5"/>
        <v>0</v>
      </c>
    </row>
    <row r="58" spans="2:11">
      <c r="B58" s="23" t="str">
        <f t="shared" si="14"/>
        <v>Meta 4</v>
      </c>
      <c r="C58" t="str">
        <f>IF('O4'!$B$20="","",'O4'!$B$20)</f>
        <v/>
      </c>
      <c r="D58" s="9">
        <f>IF(B58="","",'O4'!$G$20)</f>
        <v>0</v>
      </c>
      <c r="E58" t="str">
        <f>IF(C58="","",'O4'!$D$20)</f>
        <v/>
      </c>
      <c r="F58" s="9">
        <f t="shared" si="13"/>
        <v>0</v>
      </c>
      <c r="G58" s="63" t="str">
        <f>IF(C58="","",HLOOKUP($B$2,'KPI4'!$E$11:$R$41,26,FALSE))</f>
        <v/>
      </c>
      <c r="H58" s="63" t="str">
        <f>IF(C58="","",HLOOKUP($B$2,'KPI4'!$E$11:$R$41,27,FALSE))</f>
        <v/>
      </c>
      <c r="I58" s="21" t="str">
        <f>IF(C58="","",HLOOKUP($B$2,'KPI4'!$E$11:$R$41,28,FALSE))</f>
        <v/>
      </c>
      <c r="J58" s="9">
        <f t="shared" si="7"/>
        <v>0</v>
      </c>
      <c r="K58" s="22">
        <f t="shared" si="5"/>
        <v>0</v>
      </c>
    </row>
    <row r="59" spans="2:11">
      <c r="B59" s="23" t="str">
        <f t="shared" si="14"/>
        <v>Meta 4</v>
      </c>
      <c r="C59" s="14" t="str">
        <f>IF('O4'!$B$21="","",'O4'!$B$21)</f>
        <v/>
      </c>
      <c r="D59" s="13">
        <f>IF(B59="","",'O4'!$G$21)</f>
        <v>0</v>
      </c>
      <c r="E59" s="14" t="str">
        <f>IF(C59="","",'O4'!$D$21)</f>
        <v/>
      </c>
      <c r="F59" s="13">
        <f t="shared" si="13"/>
        <v>0</v>
      </c>
      <c r="G59" s="65" t="str">
        <f>IF(C59="","",HLOOKUP($B$2,'KPI4'!$E$11:$R$41,29,FALSE))</f>
        <v/>
      </c>
      <c r="H59" s="65" t="str">
        <f>IF(C59="","",HLOOKUP($B$2,'KPI4'!$E$11:$R$41,30,FALSE))</f>
        <v/>
      </c>
      <c r="I59" s="15" t="str">
        <f>IF(C59="","",HLOOKUP($B$2,'KPI4'!$E$11:$R$41,31,FALSE))</f>
        <v/>
      </c>
      <c r="J59" s="13">
        <f t="shared" si="7"/>
        <v>0</v>
      </c>
      <c r="K59" s="25">
        <f t="shared" si="5"/>
        <v>0</v>
      </c>
    </row>
    <row r="60" spans="2:11">
      <c r="B60" s="18" t="str">
        <f>'O5'!F$10</f>
        <v>Meta 5</v>
      </c>
      <c r="C60" s="12" t="str">
        <f>IF('O5'!$B$12="","",'O5'!$B$12)</f>
        <v>Lanzar una tienda en línea funcional antes de marzo de 2026.</v>
      </c>
      <c r="D60" s="9" t="str">
        <f>IF(B60="","",'O5'!$G$12)</f>
        <v>↑</v>
      </c>
      <c r="E60" s="12" t="str">
        <f>IF(C60="","",'O5'!$D$12)</f>
        <v>Tecnología / Sistemas / Innovación</v>
      </c>
      <c r="F60" s="9">
        <f>IF(C60="",0,1)</f>
        <v>1</v>
      </c>
      <c r="G60" s="64">
        <f>IF(C60="","",HLOOKUP($B$2,'KPI5'!$E$11:$R$41,2,FALSE))</f>
        <v>10.49</v>
      </c>
      <c r="H60" s="64">
        <f>IF(C60="","",HLOOKUP($B$2,'KPI5'!$E$11:$R$41,3,FALSE))</f>
        <v>10.800000000000002</v>
      </c>
      <c r="I60" s="69">
        <f>IF(C60="","",HLOOKUP($B$2,'KPI5'!$E$11:$R$41,4,FALSE))</f>
        <v>0.9712962962962961</v>
      </c>
      <c r="J60" s="9">
        <f t="shared" si="7"/>
        <v>1</v>
      </c>
      <c r="K60" s="22">
        <f t="shared" si="5"/>
        <v>0</v>
      </c>
    </row>
    <row r="61" spans="2:11">
      <c r="B61" s="23" t="str">
        <f>B60</f>
        <v>Meta 5</v>
      </c>
      <c r="C61" t="str">
        <f>IF('O5'!$B$13="","",'O5'!$B$13)</f>
        <v>Generar $1,000,000 MXN en ventas digitales acumuladas para diciembre de 2026.</v>
      </c>
      <c r="D61" s="9" t="str">
        <f>IF(B61="","",'O5'!$G$13)</f>
        <v>↑</v>
      </c>
      <c r="E61" t="str">
        <f>IF(C61="","",'O5'!$D$13)</f>
        <v>Comercialización (Marketing y Ventas)</v>
      </c>
      <c r="F61" s="9">
        <f t="shared" ref="F61:F69" si="15">IF(C61="",0,1)</f>
        <v>1</v>
      </c>
      <c r="G61" s="63">
        <f>IF(C61="","",HLOOKUP($B$2,'KPI5'!$E$11:$R$41,5,FALSE))</f>
        <v>0.69</v>
      </c>
      <c r="H61" s="63">
        <f>IF(C61="","",HLOOKUP($B$2,'KPI5'!$E$11:$R$41,6,FALSE))</f>
        <v>0.98</v>
      </c>
      <c r="I61" s="21">
        <f>IF(C61="","",HLOOKUP($B$2,'KPI5'!$E$11:$R$41,7,FALSE))</f>
        <v>0.70408163265306123</v>
      </c>
      <c r="J61" s="9">
        <f t="shared" si="7"/>
        <v>0</v>
      </c>
      <c r="K61" s="22">
        <f t="shared" si="5"/>
        <v>1</v>
      </c>
    </row>
    <row r="62" spans="2:11">
      <c r="B62" s="23" t="str">
        <f t="shared" ref="B62:B69" si="16">B61</f>
        <v>Meta 5</v>
      </c>
      <c r="C62">
        <f>IF('O5'!$B$13="","",'O5'!$B$14)</f>
        <v>0</v>
      </c>
      <c r="D62" s="9">
        <f>IF(B62="","",'O5'!$G$14)</f>
        <v>0</v>
      </c>
      <c r="E62">
        <f>IF(C62="","",'O5'!$D$14)</f>
        <v>0</v>
      </c>
      <c r="F62" s="9">
        <f t="shared" si="15"/>
        <v>1</v>
      </c>
      <c r="G62" s="63" t="str">
        <f>IF(C62="","",HLOOKUP($B$2,'KPI5'!$E$11:$R$41,8,FALSE))</f>
        <v/>
      </c>
      <c r="H62" s="63" t="str">
        <f>IF(C62="","",HLOOKUP($B$2,'KPI5'!$E$11:$R$41,9,FALSE))</f>
        <v/>
      </c>
      <c r="I62" s="21" t="str">
        <f>IF(C62="","",HLOOKUP($B$2,'KPI5'!$E$11:$R$41,10,FALSE))</f>
        <v/>
      </c>
      <c r="J62" s="9">
        <f t="shared" si="7"/>
        <v>0</v>
      </c>
      <c r="K62" s="22">
        <f t="shared" si="5"/>
        <v>0</v>
      </c>
    </row>
    <row r="63" spans="2:11">
      <c r="B63" s="23" t="str">
        <f t="shared" si="16"/>
        <v>Meta 5</v>
      </c>
      <c r="C63" t="str">
        <f>IF('O5'!$B$15="","",'O5'!$B$15)</f>
        <v/>
      </c>
      <c r="D63" s="9">
        <f>IF(B63="","",'O5'!$G$15)</f>
        <v>0</v>
      </c>
      <c r="E63" t="str">
        <f>IF(C63="","",'O5'!$D$15)</f>
        <v/>
      </c>
      <c r="F63" s="9">
        <f t="shared" si="15"/>
        <v>0</v>
      </c>
      <c r="G63" s="63" t="str">
        <f>IF(C63="","",HLOOKUP($B$2,'KPI5'!$E$11:$R$41,11,FALSE))</f>
        <v/>
      </c>
      <c r="H63" s="63" t="str">
        <f>IF(C63="","",HLOOKUP($B$2,'KPI5'!$E$11:$R$41,12,FALSE))</f>
        <v/>
      </c>
      <c r="I63" s="21" t="str">
        <f>IF(C63="","",HLOOKUP($B$2,'KPI5'!$E$11:$R$41,13,FALSE))</f>
        <v/>
      </c>
      <c r="J63" s="9">
        <f t="shared" si="7"/>
        <v>0</v>
      </c>
      <c r="K63" s="22">
        <f t="shared" si="5"/>
        <v>0</v>
      </c>
    </row>
    <row r="64" spans="2:11">
      <c r="B64" s="23" t="str">
        <f t="shared" si="16"/>
        <v>Meta 5</v>
      </c>
      <c r="C64" t="str">
        <f>IF('O5'!$B$16="","",'O5'!$B$16)</f>
        <v/>
      </c>
      <c r="D64" s="9">
        <f>IF(B64="","",'O5'!$G$16)</f>
        <v>0</v>
      </c>
      <c r="E64" t="str">
        <f>IF(C64="","",'O5'!$D$16)</f>
        <v/>
      </c>
      <c r="F64" s="9">
        <f t="shared" si="15"/>
        <v>0</v>
      </c>
      <c r="G64" s="63" t="str">
        <f>IF(C64="","",HLOOKUP($B$2,'KPI5'!$E$11:$R$41,14,FALSE))</f>
        <v/>
      </c>
      <c r="H64" s="63" t="str">
        <f>IF(C64="","",HLOOKUP($B$2,'KPI5'!$E$11:$R$41,15,FALSE))</f>
        <v/>
      </c>
      <c r="I64" s="21" t="str">
        <f>IF(C64="","",HLOOKUP($B$2,'KPI5'!$E$11:$R$41,16,FALSE))</f>
        <v/>
      </c>
      <c r="J64" s="9">
        <f t="shared" si="7"/>
        <v>0</v>
      </c>
      <c r="K64" s="22">
        <f t="shared" si="5"/>
        <v>0</v>
      </c>
    </row>
    <row r="65" spans="2:11">
      <c r="B65" s="23" t="str">
        <f t="shared" si="16"/>
        <v>Meta 5</v>
      </c>
      <c r="C65" t="str">
        <f>IF('O5'!$B$17="","",'O5'!$B$17)</f>
        <v/>
      </c>
      <c r="D65" s="9">
        <f>IF(B65="","",'O5'!$G$17)</f>
        <v>0</v>
      </c>
      <c r="E65" t="str">
        <f>IF(C65="","",'O5'!$D$17)</f>
        <v/>
      </c>
      <c r="F65" s="9">
        <f t="shared" si="15"/>
        <v>0</v>
      </c>
      <c r="G65" s="63" t="str">
        <f>IF(C65="","",HLOOKUP($B$2,'KPI5'!$E$11:$R$41,17,FALSE))</f>
        <v/>
      </c>
      <c r="H65" s="63" t="str">
        <f>IF(C65="","",HLOOKUP($B$2,'KPI5'!$E$11:$R$41,18,FALSE))</f>
        <v/>
      </c>
      <c r="I65" s="21" t="str">
        <f>IF(C65="","",HLOOKUP($B$2,'KPI5'!$E$11:$R$41,19,FALSE))</f>
        <v/>
      </c>
      <c r="J65" s="9">
        <f t="shared" si="7"/>
        <v>0</v>
      </c>
      <c r="K65" s="22">
        <f t="shared" si="5"/>
        <v>0</v>
      </c>
    </row>
    <row r="66" spans="2:11">
      <c r="B66" s="23" t="str">
        <f t="shared" si="16"/>
        <v>Meta 5</v>
      </c>
      <c r="C66" t="str">
        <f>IF('O5'!$B$18="","",'O5'!$B$18)</f>
        <v/>
      </c>
      <c r="D66" s="9">
        <f>IF(B66="","",'O5'!$G$18)</f>
        <v>0</v>
      </c>
      <c r="E66" t="str">
        <f>IF(C66="","",'O5'!$D$18)</f>
        <v/>
      </c>
      <c r="F66" s="9">
        <f t="shared" si="15"/>
        <v>0</v>
      </c>
      <c r="G66" s="63" t="str">
        <f>IF(C66="","",HLOOKUP($B$2,'KPI5'!$E$11:$R$41,20,FALSE))</f>
        <v/>
      </c>
      <c r="H66" s="63" t="str">
        <f>IF(C66="","",HLOOKUP($B$2,'KPI5'!$E$11:$R$41,21,FALSE))</f>
        <v/>
      </c>
      <c r="I66" s="21" t="str">
        <f>IF(C66="","",HLOOKUP($B$2,'KPI5'!$E$11:$R$41,22,FALSE))</f>
        <v/>
      </c>
      <c r="J66" s="9">
        <f t="shared" si="7"/>
        <v>0</v>
      </c>
      <c r="K66" s="22">
        <f t="shared" si="5"/>
        <v>0</v>
      </c>
    </row>
    <row r="67" spans="2:11">
      <c r="B67" s="23" t="str">
        <f t="shared" si="16"/>
        <v>Meta 5</v>
      </c>
      <c r="C67" t="str">
        <f>IF('O5'!$B$19="","",'O5'!$B$19)</f>
        <v/>
      </c>
      <c r="D67" s="9">
        <f>IF(B67="","",'O5'!$G$19)</f>
        <v>0</v>
      </c>
      <c r="E67" t="str">
        <f>IF(C67="","",'O5'!$D$19)</f>
        <v/>
      </c>
      <c r="F67" s="9">
        <f t="shared" si="15"/>
        <v>0</v>
      </c>
      <c r="G67" s="63" t="str">
        <f>IF(C67="","",HLOOKUP($B$2,'KPI5'!$E$11:$R$41,23,FALSE))</f>
        <v/>
      </c>
      <c r="H67" s="63" t="str">
        <f>IF(C67="","",HLOOKUP($B$2,'KPI5'!$E$11:$R$41,24,FALSE))</f>
        <v/>
      </c>
      <c r="I67" s="21" t="str">
        <f>IF(C67="","",HLOOKUP($B$2,'KPI5'!$E$11:$R$41,25,FALSE))</f>
        <v/>
      </c>
      <c r="J67" s="9">
        <f t="shared" si="7"/>
        <v>0</v>
      </c>
      <c r="K67" s="22">
        <f t="shared" si="5"/>
        <v>0</v>
      </c>
    </row>
    <row r="68" spans="2:11">
      <c r="B68" s="23" t="str">
        <f t="shared" si="16"/>
        <v>Meta 5</v>
      </c>
      <c r="C68" t="str">
        <f>IF('O5'!$B$20="","",'O5'!$B$20)</f>
        <v/>
      </c>
      <c r="D68" s="9">
        <f>IF(B68="","",'O5'!$G$20)</f>
        <v>0</v>
      </c>
      <c r="E68" t="str">
        <f>IF(C68="","",'O5'!$D$20)</f>
        <v/>
      </c>
      <c r="F68" s="9">
        <f t="shared" si="15"/>
        <v>0</v>
      </c>
      <c r="G68" s="63" t="str">
        <f>IF(C68="","",HLOOKUP($B$2,'KPI5'!$E$11:$R$41,26,FALSE))</f>
        <v/>
      </c>
      <c r="H68" s="63" t="str">
        <f>IF(C68="","",HLOOKUP($B$2,'KPI5'!$E$11:$R$41,27,FALSE))</f>
        <v/>
      </c>
      <c r="I68" s="21" t="str">
        <f>IF(C68="","",HLOOKUP($B$2,'KPI5'!$E$11:$R$41,28,FALSE))</f>
        <v/>
      </c>
      <c r="J68" s="9">
        <f t="shared" si="7"/>
        <v>0</v>
      </c>
      <c r="K68" s="22">
        <f t="shared" si="5"/>
        <v>0</v>
      </c>
    </row>
    <row r="69" spans="2:11">
      <c r="B69" s="23" t="str">
        <f t="shared" si="16"/>
        <v>Meta 5</v>
      </c>
      <c r="C69" s="14" t="str">
        <f>IF('O5'!$B$21="","",'O5'!$B$21)</f>
        <v/>
      </c>
      <c r="D69" s="13">
        <f>IF(B69="","",'O5'!$G$21)</f>
        <v>0</v>
      </c>
      <c r="E69" s="14" t="str">
        <f>IF(C69="","",'O5'!$D$21)</f>
        <v/>
      </c>
      <c r="F69" s="13">
        <f t="shared" si="15"/>
        <v>0</v>
      </c>
      <c r="G69" s="65" t="str">
        <f>IF(C69="","",HLOOKUP($B$2,'KPI5'!$E$11:$R$41,29,FALSE))</f>
        <v/>
      </c>
      <c r="H69" s="65" t="str">
        <f>IF(C69="","",HLOOKUP($B$2,'KPI5'!$E$11:$R$41,30,FALSE))</f>
        <v/>
      </c>
      <c r="I69" s="15" t="str">
        <f>IF(C69="","",HLOOKUP($B$2,'KPI5'!$E$11:$R$41,31,FALSE))</f>
        <v/>
      </c>
      <c r="J69" s="13">
        <f t="shared" si="7"/>
        <v>0</v>
      </c>
      <c r="K69" s="25">
        <f t="shared" si="5"/>
        <v>0</v>
      </c>
    </row>
    <row r="70" spans="2:11">
      <c r="B70" s="18" t="str">
        <f>'O6'!G$10</f>
        <v>Meta 6</v>
      </c>
      <c r="C70" s="12" t="str">
        <f>IF('O6'!$B$12="","",'O6'!$B$12)</f>
        <v>Implementar un plan anual de capacitación para todos los colaboradores antes de enero de 2026.</v>
      </c>
      <c r="D70" s="9" t="str">
        <f>IF(B70="","",'O6'!$G$12)</f>
        <v>↑</v>
      </c>
      <c r="E70" s="12" t="str">
        <f>IF(C70="","",'O6'!$D$12)</f>
        <v>Recursos Humanos</v>
      </c>
      <c r="F70" s="9">
        <f>IF(C70="",0,1)</f>
        <v>1</v>
      </c>
      <c r="G70" s="64">
        <f>IF(C70="","",HLOOKUP($B$2,'KPI6'!$E$11:$R$41,2,FALSE))</f>
        <v>1039</v>
      </c>
      <c r="H70" s="64">
        <f>IF(C70="","",HLOOKUP($B$2,'KPI6'!$E$11:$R$41,3,FALSE))</f>
        <v>1080</v>
      </c>
      <c r="I70" s="69">
        <f>IF(C70="","",HLOOKUP($B$2,'KPI6'!$E$11:$R$41,4,FALSE))</f>
        <v>0.96203703703703702</v>
      </c>
      <c r="J70" s="9">
        <f t="shared" si="7"/>
        <v>1</v>
      </c>
      <c r="K70" s="22">
        <f t="shared" si="5"/>
        <v>0</v>
      </c>
    </row>
    <row r="71" spans="2:11">
      <c r="B71" s="23" t="str">
        <f>B70</f>
        <v>Meta 6</v>
      </c>
      <c r="C71" t="str">
        <f>IF('O6'!$B$13="","",'O6'!$B$13)</f>
        <v>Lograr que el 80% del personal operativo participe en al menos una capacitación al año.</v>
      </c>
      <c r="D71" s="9" t="str">
        <f>IF(B71="","",'O6'!$G$13)</f>
        <v>↑</v>
      </c>
      <c r="E71" t="str">
        <f>IF(C71="","",'O6'!$D$13)</f>
        <v>Recursos Humanos</v>
      </c>
      <c r="F71" s="9">
        <f t="shared" ref="F71:F79" si="17">IF(C71="",0,1)</f>
        <v>1</v>
      </c>
      <c r="G71" s="63">
        <f>IF(C71="","",HLOOKUP($B$2,'KPI6'!$E$11:$R$41,5,FALSE))</f>
        <v>0.87750000000000006</v>
      </c>
      <c r="H71" s="63">
        <f>IF(C71="","",HLOOKUP($B$2,'KPI6'!$E$11:$R$41,6,FALSE))</f>
        <v>0.90000000000000024</v>
      </c>
      <c r="I71" s="21">
        <f>IF(C71="","",HLOOKUP($B$2,'KPI6'!$E$11:$R$41,7,FALSE))</f>
        <v>0.97499999999999976</v>
      </c>
      <c r="J71" s="9">
        <f t="shared" si="7"/>
        <v>1</v>
      </c>
      <c r="K71" s="22">
        <f t="shared" si="5"/>
        <v>0</v>
      </c>
    </row>
    <row r="72" spans="2:11">
      <c r="B72" s="23" t="str">
        <f t="shared" ref="B72:B79" si="18">B71</f>
        <v>Meta 6</v>
      </c>
      <c r="C72">
        <f>IF('O6'!$B$13="","",'O6'!$B$14)</f>
        <v>0</v>
      </c>
      <c r="D72" s="9">
        <f>IF(B72="","",'O6'!$G$14)</f>
        <v>0</v>
      </c>
      <c r="E72">
        <f>IF(C72="","",'O6'!$D$14)</f>
        <v>0</v>
      </c>
      <c r="F72" s="9">
        <f t="shared" si="17"/>
        <v>1</v>
      </c>
      <c r="G72" s="63" t="str">
        <f>IF(C72="","",HLOOKUP($B$2,'KPI6'!$E$11:$R$41,8,FALSE))</f>
        <v/>
      </c>
      <c r="H72" s="63" t="str">
        <f>IF(C72="","",HLOOKUP($B$2,'KPI6'!$E$11:$R$41,9,FALSE))</f>
        <v/>
      </c>
      <c r="I72" s="21" t="str">
        <f>IF(C72="","",HLOOKUP($B$2,'KPI6'!$E$11:$R$41,10,FALSE))</f>
        <v/>
      </c>
      <c r="J72" s="9">
        <f t="shared" si="7"/>
        <v>0</v>
      </c>
      <c r="K72" s="22">
        <f t="shared" si="5"/>
        <v>0</v>
      </c>
    </row>
    <row r="73" spans="2:11">
      <c r="B73" s="23" t="str">
        <f t="shared" si="18"/>
        <v>Meta 6</v>
      </c>
      <c r="C73" t="str">
        <f>IF('O6'!$B$15="","",'O6'!$B$15)</f>
        <v/>
      </c>
      <c r="D73" s="9">
        <f>IF(B73="","",'O6'!$G$15)</f>
        <v>0</v>
      </c>
      <c r="E73" t="str">
        <f>IF(C73="","",'O6'!$D$15)</f>
        <v/>
      </c>
      <c r="F73" s="9">
        <f t="shared" si="17"/>
        <v>0</v>
      </c>
      <c r="G73" s="63" t="str">
        <f>IF(C73="","",HLOOKUP($B$2,'KPI6'!$E$11:$R$41,11,FALSE))</f>
        <v/>
      </c>
      <c r="H73" s="63" t="str">
        <f>IF(C73="","",HLOOKUP($B$2,'KPI6'!$E$11:$R$41,12,FALSE))</f>
        <v/>
      </c>
      <c r="I73" s="21" t="str">
        <f>IF(C73="","",HLOOKUP($B$2,'KPI6'!$E$11:$R$41,13,FALSE))</f>
        <v/>
      </c>
      <c r="J73" s="9">
        <f t="shared" si="7"/>
        <v>0</v>
      </c>
      <c r="K73" s="22">
        <f t="shared" si="5"/>
        <v>0</v>
      </c>
    </row>
    <row r="74" spans="2:11">
      <c r="B74" s="23" t="str">
        <f t="shared" si="18"/>
        <v>Meta 6</v>
      </c>
      <c r="C74" t="str">
        <f>IF('O6'!$B$16="","",'O6'!$B$16)</f>
        <v/>
      </c>
      <c r="D74" s="9">
        <f>IF(B74="","",'O6'!$G$16)</f>
        <v>0</v>
      </c>
      <c r="E74" t="str">
        <f>IF(C74="","",'O6'!$D$16)</f>
        <v/>
      </c>
      <c r="F74" s="9">
        <f t="shared" si="17"/>
        <v>0</v>
      </c>
      <c r="G74" s="63" t="str">
        <f>IF(C74="","",HLOOKUP($B$2,'KPI6'!$E$11:$R$41,14,FALSE))</f>
        <v/>
      </c>
      <c r="H74" s="63" t="str">
        <f>IF(C74="","",HLOOKUP($B$2,'KPI6'!$E$11:$R$41,15,FALSE))</f>
        <v/>
      </c>
      <c r="I74" s="21" t="str">
        <f>IF(C74="","",HLOOKUP($B$2,'KPI6'!$E$11:$R$41,16,FALSE))</f>
        <v/>
      </c>
      <c r="J74" s="9">
        <f t="shared" si="7"/>
        <v>0</v>
      </c>
      <c r="K74" s="22">
        <f t="shared" si="5"/>
        <v>0</v>
      </c>
    </row>
    <row r="75" spans="2:11">
      <c r="B75" s="23" t="str">
        <f t="shared" si="18"/>
        <v>Meta 6</v>
      </c>
      <c r="C75" t="str">
        <f>IF('O6'!$B$17="","",'O6'!$B$17)</f>
        <v/>
      </c>
      <c r="D75" s="9">
        <f>IF(B75="","",'O6'!$G$17)</f>
        <v>0</v>
      </c>
      <c r="E75" t="str">
        <f>IF(C75="","",'O6'!$D$17)</f>
        <v/>
      </c>
      <c r="F75" s="9">
        <f t="shared" si="17"/>
        <v>0</v>
      </c>
      <c r="G75" s="63" t="str">
        <f>IF(C75="","",HLOOKUP($B$2,'KPI6'!$E$11:$R$41,17,FALSE))</f>
        <v/>
      </c>
      <c r="H75" s="63" t="str">
        <f>IF(C75="","",HLOOKUP($B$2,'KPI6'!$E$11:$R$41,18,FALSE))</f>
        <v/>
      </c>
      <c r="I75" s="21" t="str">
        <f>IF(C75="","",HLOOKUP($B$2,'KPI6'!$E$11:$R$41,19,FALSE))</f>
        <v/>
      </c>
      <c r="J75" s="9">
        <f t="shared" si="7"/>
        <v>0</v>
      </c>
      <c r="K75" s="22">
        <f t="shared" si="5"/>
        <v>0</v>
      </c>
    </row>
    <row r="76" spans="2:11">
      <c r="B76" s="23" t="str">
        <f t="shared" si="18"/>
        <v>Meta 6</v>
      </c>
      <c r="C76" t="str">
        <f>IF('O6'!$B$18="","",'O6'!$B$18)</f>
        <v/>
      </c>
      <c r="D76" s="9">
        <f>IF(B76="","",'O6'!$G$18)</f>
        <v>0</v>
      </c>
      <c r="E76" t="str">
        <f>IF(C76="","",'O6'!$D$18)</f>
        <v/>
      </c>
      <c r="F76" s="9">
        <f t="shared" si="17"/>
        <v>0</v>
      </c>
      <c r="G76" s="63" t="str">
        <f>IF(C76="","",HLOOKUP($B$2,'KPI6'!$E$11:$R$41,20,FALSE))</f>
        <v/>
      </c>
      <c r="H76" s="63" t="str">
        <f>IF(C76="","",HLOOKUP($B$2,'KPI6'!$E$11:$R$41,21,FALSE))</f>
        <v/>
      </c>
      <c r="I76" s="21" t="str">
        <f>IF(C76="","",HLOOKUP($B$2,'KPI6'!$E$11:$R$41,22,FALSE))</f>
        <v/>
      </c>
      <c r="J76" s="9">
        <f t="shared" si="7"/>
        <v>0</v>
      </c>
      <c r="K76" s="22">
        <f t="shared" si="5"/>
        <v>0</v>
      </c>
    </row>
    <row r="77" spans="2:11">
      <c r="B77" s="23" t="str">
        <f t="shared" si="18"/>
        <v>Meta 6</v>
      </c>
      <c r="C77" t="str">
        <f>IF('O6'!$B$19="","",'O6'!$B$19)</f>
        <v/>
      </c>
      <c r="D77" s="9">
        <f>IF(B77="","",'O6'!$G$19)</f>
        <v>0</v>
      </c>
      <c r="E77" t="str">
        <f>IF(C77="","",'O6'!$D$19)</f>
        <v/>
      </c>
      <c r="F77" s="9">
        <f t="shared" si="17"/>
        <v>0</v>
      </c>
      <c r="G77" s="63" t="str">
        <f>IF(C77="","",HLOOKUP($B$2,'KPI6'!$E$11:$R$41,23,FALSE))</f>
        <v/>
      </c>
      <c r="H77" s="63" t="str">
        <f>IF(C77="","",HLOOKUP($B$2,'KPI6'!$E$11:$R$41,24,FALSE))</f>
        <v/>
      </c>
      <c r="I77" s="21" t="str">
        <f>IF(C77="","",HLOOKUP($B$2,'KPI6'!$E$11:$R$41,25,FALSE))</f>
        <v/>
      </c>
      <c r="J77" s="9">
        <f t="shared" si="7"/>
        <v>0</v>
      </c>
      <c r="K77" s="22">
        <f t="shared" si="5"/>
        <v>0</v>
      </c>
    </row>
    <row r="78" spans="2:11">
      <c r="B78" s="23" t="str">
        <f t="shared" si="18"/>
        <v>Meta 6</v>
      </c>
      <c r="C78" t="str">
        <f>IF('O6'!$B$20="","",'O6'!$B$20)</f>
        <v/>
      </c>
      <c r="D78" s="9">
        <f>IF(B78="","",'O6'!$G$20)</f>
        <v>0</v>
      </c>
      <c r="E78" t="str">
        <f>IF(C78="","",'O6'!$D$20)</f>
        <v/>
      </c>
      <c r="F78" s="9">
        <f t="shared" si="17"/>
        <v>0</v>
      </c>
      <c r="G78" s="63" t="str">
        <f>IF(C78="","",HLOOKUP($B$2,'KPI6'!$E$11:$R$41,26,FALSE))</f>
        <v/>
      </c>
      <c r="H78" s="63" t="str">
        <f>IF(C78="","",HLOOKUP($B$2,'KPI6'!$E$11:$R$41,27,FALSE))</f>
        <v/>
      </c>
      <c r="I78" s="21" t="str">
        <f>IF(C78="","",HLOOKUP($B$2,'KPI6'!$E$11:$R$41,28,FALSE))</f>
        <v/>
      </c>
      <c r="J78" s="9">
        <f t="shared" si="7"/>
        <v>0</v>
      </c>
      <c r="K78" s="22">
        <f t="shared" si="5"/>
        <v>0</v>
      </c>
    </row>
    <row r="79" spans="2:11">
      <c r="B79" s="23" t="str">
        <f t="shared" si="18"/>
        <v>Meta 6</v>
      </c>
      <c r="C79" s="14" t="str">
        <f>IF('O6'!$B$21="","",'O6'!$B$21)</f>
        <v/>
      </c>
      <c r="D79" s="13">
        <f>IF(B79="","",'O6'!$G$21)</f>
        <v>0</v>
      </c>
      <c r="E79" s="14" t="str">
        <f>IF(C79="","",'O6'!$D$21)</f>
        <v/>
      </c>
      <c r="F79" s="13">
        <f t="shared" si="17"/>
        <v>0</v>
      </c>
      <c r="G79" s="65" t="str">
        <f>IF(C79="","",HLOOKUP($B$2,'KPI6'!$E$11:$R$41,29,FALSE))</f>
        <v/>
      </c>
      <c r="H79" s="65" t="str">
        <f>IF(C79="","",HLOOKUP($B$2,'KPI6'!$E$11:$R$41,30,FALSE))</f>
        <v/>
      </c>
      <c r="I79" s="15" t="str">
        <f>IF(C79="","",HLOOKUP($B$2,'KPI6'!$E$11:$R$41,31,FALSE))</f>
        <v/>
      </c>
      <c r="J79" s="13">
        <f t="shared" si="7"/>
        <v>0</v>
      </c>
      <c r="K79" s="25">
        <f t="shared" si="5"/>
        <v>0</v>
      </c>
    </row>
    <row r="80" spans="2:11">
      <c r="B80" s="624" t="s">
        <v>109</v>
      </c>
      <c r="C80" s="625"/>
      <c r="D80" s="625"/>
      <c r="E80" s="625"/>
      <c r="F80" s="32">
        <f>SUM(F20:F79)</f>
        <v>14</v>
      </c>
      <c r="G80" s="61">
        <f>IFERROR(AVERAGEIF(G20:G79,"&lt;&gt;"),0)</f>
        <v>1626.26325</v>
      </c>
      <c r="H80" s="61">
        <f>IFERROR(AVERAGEIF(H20:H79,"&lt;&gt;"),0)</f>
        <v>1171.6966666666665</v>
      </c>
      <c r="I80" s="39">
        <f>IFERROR(AVERAGEIF(I20:I79,"&lt;&gt;"),0)</f>
        <v>1.0614782827007025</v>
      </c>
      <c r="J80" s="32">
        <f>SUM(J20:J79)</f>
        <v>7</v>
      </c>
      <c r="K80" s="40">
        <f>SUM(K20:K79)</f>
        <v>3</v>
      </c>
    </row>
    <row r="83" spans="2:6">
      <c r="C83" s="66"/>
    </row>
    <row r="84" spans="2:6">
      <c r="C84" s="85" t="str">
        <f>Lan!F105</f>
        <v>Alcanzado</v>
      </c>
      <c r="D84" s="9" t="str">
        <f>Lan!F106</f>
        <v>En peligro</v>
      </c>
    </row>
    <row r="85" spans="2:6" s="1" customFormat="1" ht="18.5" customHeight="1">
      <c r="B85" s="1" t="str">
        <f>IF(SA!C18="","",SA!C18)</f>
        <v/>
      </c>
      <c r="C85" s="10">
        <f t="shared" ref="C85:C92" si="19">SUMIFS($J$20:$J$79,$E$20:$E$79,B85)</f>
        <v>0</v>
      </c>
      <c r="D85" s="10">
        <f t="shared" ref="D85:D92" si="20">SUMIFS($K$20:$K$79,$E$20:$E$79,B85)</f>
        <v>0</v>
      </c>
    </row>
    <row r="86" spans="2:6" s="1" customFormat="1" ht="18.5" customHeight="1">
      <c r="B86" s="1" t="str">
        <f>IF(SA!C17="","",SA!C17)</f>
        <v/>
      </c>
      <c r="C86" s="10">
        <f t="shared" si="19"/>
        <v>0</v>
      </c>
      <c r="D86" s="10">
        <f t="shared" si="20"/>
        <v>0</v>
      </c>
      <c r="E86" s="67"/>
      <c r="F86" s="67"/>
    </row>
    <row r="87" spans="2:6" s="1" customFormat="1" ht="18.5" customHeight="1">
      <c r="B87" s="1" t="str">
        <f>IF(SA!C16="","",SA!C16)</f>
        <v>Tecnología / Sistemas / Innovación</v>
      </c>
      <c r="C87" s="10">
        <f t="shared" si="19"/>
        <v>1</v>
      </c>
      <c r="D87" s="10">
        <f t="shared" si="20"/>
        <v>0</v>
      </c>
      <c r="E87" s="67"/>
      <c r="F87" s="67"/>
    </row>
    <row r="88" spans="2:6" s="1" customFormat="1" ht="18.5" customHeight="1">
      <c r="B88" s="1" t="str">
        <f>IF(SA!C15="","",SA!C15)</f>
        <v>Recursos Humanos</v>
      </c>
      <c r="C88" s="10">
        <f t="shared" si="19"/>
        <v>2</v>
      </c>
      <c r="D88" s="10">
        <f t="shared" si="20"/>
        <v>0</v>
      </c>
      <c r="E88" s="67"/>
      <c r="F88" s="67"/>
    </row>
    <row r="89" spans="2:6" s="1" customFormat="1" ht="18.5" customHeight="1">
      <c r="B89" s="1" t="str">
        <f>IF(SA!C14="","",SA!C14)</f>
        <v>Comercialización (Marketing y Ventas)</v>
      </c>
      <c r="C89" s="10">
        <f t="shared" si="19"/>
        <v>2</v>
      </c>
      <c r="D89" s="10">
        <f t="shared" si="20"/>
        <v>1</v>
      </c>
      <c r="E89" s="67"/>
      <c r="F89" s="67"/>
    </row>
    <row r="90" spans="2:6" s="1" customFormat="1" ht="18.5" customHeight="1">
      <c r="B90" s="1" t="str">
        <f>IF(SA!C13="","",SA!C13)</f>
        <v>Operaciones / Producción</v>
      </c>
      <c r="C90" s="10">
        <f t="shared" si="19"/>
        <v>0</v>
      </c>
      <c r="D90" s="10">
        <f t="shared" si="20"/>
        <v>2</v>
      </c>
      <c r="E90" s="67"/>
      <c r="F90" s="67"/>
    </row>
    <row r="91" spans="2:6" s="1" customFormat="1" ht="18.5" customHeight="1">
      <c r="B91" s="1" t="str">
        <f>IF(SA!C12="","",SA!C12)</f>
        <v>Administración</v>
      </c>
      <c r="C91" s="10">
        <f t="shared" si="19"/>
        <v>1</v>
      </c>
      <c r="D91" s="10">
        <f t="shared" si="20"/>
        <v>0</v>
      </c>
      <c r="E91" s="67"/>
      <c r="F91" s="67"/>
    </row>
    <row r="92" spans="2:6" s="1" customFormat="1" ht="18.5" customHeight="1">
      <c r="B92" s="1" t="str">
        <f>IF(SA!C11="","",SA!C11)</f>
        <v>Dirección/Gerencia General (Alta Dirección)</v>
      </c>
      <c r="C92" s="10">
        <f t="shared" si="19"/>
        <v>1</v>
      </c>
      <c r="D92" s="10">
        <f t="shared" si="20"/>
        <v>0</v>
      </c>
    </row>
    <row r="93" spans="2:6" ht="18.5" customHeight="1">
      <c r="C93" s="9"/>
      <c r="D93" s="9"/>
    </row>
    <row r="94" spans="2:6" ht="20" customHeight="1">
      <c r="B94" s="1" t="str">
        <f>IF(Goals!C17="","",Goals!C17)</f>
        <v>Desarrollar y fidelizar al talento humano de la empresa.</v>
      </c>
      <c r="C94" s="10">
        <f>D16</f>
        <v>2</v>
      </c>
      <c r="D94" s="10">
        <f>E16</f>
        <v>0</v>
      </c>
    </row>
    <row r="95" spans="2:6" ht="20" customHeight="1">
      <c r="B95" s="1" t="str">
        <f>IF(Goals!C16="","",Goals!C16)</f>
        <v>Incrementar las ventas a través de plataformas digitales.</v>
      </c>
      <c r="C95" s="10">
        <f>D15</f>
        <v>1</v>
      </c>
      <c r="D95" s="10">
        <f>E15</f>
        <v>1</v>
      </c>
    </row>
    <row r="96" spans="2:6" ht="20" customHeight="1">
      <c r="B96" s="1" t="str">
        <f>IF(Goals!C15="","",Goals!C15)</f>
        <v>Asegurar la calidad e inocuidad de los productos en todos los procesos de la planta.</v>
      </c>
      <c r="C96" s="10">
        <f>D14</f>
        <v>1</v>
      </c>
      <c r="D96" s="10">
        <f>E14</f>
        <v>1</v>
      </c>
    </row>
    <row r="97" spans="2:4" ht="20" customHeight="1">
      <c r="B97" s="1" t="str">
        <f>IF(Goals!C14="","",Goals!C14)</f>
        <v>Fortalecer el posicionamiento de la marca Caracolitos a nivel nacional.</v>
      </c>
      <c r="C97" s="10">
        <f>D13</f>
        <v>2</v>
      </c>
      <c r="D97" s="10">
        <f>E13</f>
        <v>0</v>
      </c>
    </row>
    <row r="98" spans="2:4" ht="20" customHeight="1">
      <c r="B98" s="1" t="str">
        <f>IF(Goals!C13="","",Goals!C13)</f>
        <v>Mejorar la productividad de los procesos operativos en planta.</v>
      </c>
      <c r="C98" s="10">
        <f>D12</f>
        <v>0</v>
      </c>
      <c r="D98" s="10">
        <f>E12</f>
        <v>1</v>
      </c>
    </row>
    <row r="99" spans="2:4" ht="20" customHeight="1">
      <c r="B99" s="1" t="str">
        <f>IF(Goals!C12="","",Goals!C12)</f>
        <v>Expandir la presencia nacional de Caracolitos mediante la apertura de nuevas sucursales.</v>
      </c>
      <c r="C99" s="10">
        <f>D11</f>
        <v>1</v>
      </c>
      <c r="D99" s="10">
        <f>E11</f>
        <v>0</v>
      </c>
    </row>
    <row r="100" spans="2:4" ht="20" customHeight="1"/>
  </sheetData>
  <mergeCells count="1">
    <mergeCell ref="B80:E80"/>
  </mergeCells>
  <conditionalFormatting sqref="E86">
    <cfRule type="expression" dxfId="69" priority="2">
      <formula>$C91&gt;=$D$2</formula>
    </cfRule>
    <cfRule type="expression" dxfId="68" priority="1">
      <formula>$C91&lt;$D$2</formula>
    </cfRule>
  </conditionalFormatting>
  <conditionalFormatting sqref="E87">
    <cfRule type="expression" dxfId="67" priority="7">
      <formula>$C90&gt;=$D$2</formula>
    </cfRule>
    <cfRule type="expression" dxfId="66" priority="6">
      <formula>$C90&lt;$D$2</formula>
    </cfRule>
  </conditionalFormatting>
  <conditionalFormatting sqref="E88">
    <cfRule type="expression" dxfId="65" priority="12">
      <formula>$C89&gt;=$D$2</formula>
    </cfRule>
    <cfRule type="expression" dxfId="64" priority="11">
      <formula>$C89&lt;$D$2</formula>
    </cfRule>
  </conditionalFormatting>
  <conditionalFormatting sqref="E89">
    <cfRule type="expression" dxfId="63" priority="16">
      <formula>$C88&lt;$D$2</formula>
    </cfRule>
    <cfRule type="expression" dxfId="62" priority="17">
      <formula>$C88&gt;=$D$2</formula>
    </cfRule>
  </conditionalFormatting>
  <conditionalFormatting sqref="E90">
    <cfRule type="expression" dxfId="61" priority="21">
      <formula>$C87&lt;$D$2</formula>
    </cfRule>
    <cfRule type="expression" dxfId="60" priority="22">
      <formula>$C87&gt;=$D$2</formula>
    </cfRule>
  </conditionalFormatting>
  <conditionalFormatting sqref="E91">
    <cfRule type="expression" dxfId="59" priority="26">
      <formula>$C86&lt;$D$2</formula>
    </cfRule>
    <cfRule type="expression" dxfId="58" priority="27">
      <formula>$C86&gt;=$D$2</formula>
    </cfRule>
  </conditionalFormatting>
  <conditionalFormatting sqref="F86">
    <cfRule type="expression" dxfId="57" priority="5">
      <formula>$D91&lt;=$D$2</formula>
    </cfRule>
    <cfRule type="expression" dxfId="56" priority="4">
      <formula>$D91&gt;$D$2</formula>
    </cfRule>
    <cfRule type="expression" dxfId="55" priority="3">
      <formula>$D91=0</formula>
    </cfRule>
  </conditionalFormatting>
  <conditionalFormatting sqref="F87">
    <cfRule type="expression" dxfId="54" priority="8">
      <formula>$D90=0</formula>
    </cfRule>
    <cfRule type="expression" dxfId="53" priority="9">
      <formula>$D90&gt;$D$2</formula>
    </cfRule>
    <cfRule type="expression" dxfId="52" priority="10">
      <formula>$D90&lt;=$D$2</formula>
    </cfRule>
  </conditionalFormatting>
  <conditionalFormatting sqref="F88">
    <cfRule type="expression" dxfId="51" priority="13">
      <formula>$D89=0</formula>
    </cfRule>
    <cfRule type="expression" dxfId="50" priority="14">
      <formula>$D89&gt;$D$2</formula>
    </cfRule>
    <cfRule type="expression" dxfId="49" priority="15">
      <formula>$D89&lt;=$D$2</formula>
    </cfRule>
  </conditionalFormatting>
  <conditionalFormatting sqref="F89">
    <cfRule type="expression" dxfId="48" priority="18">
      <formula>$D88=0</formula>
    </cfRule>
    <cfRule type="expression" dxfId="47" priority="19">
      <formula>$D88&gt;$D$2</formula>
    </cfRule>
    <cfRule type="expression" dxfId="46" priority="20">
      <formula>$D88&lt;=$D$2</formula>
    </cfRule>
  </conditionalFormatting>
  <conditionalFormatting sqref="F90">
    <cfRule type="expression" dxfId="45" priority="23">
      <formula>$D87=0</formula>
    </cfRule>
    <cfRule type="expression" dxfId="44" priority="24">
      <formula>$D87&gt;$D$2</formula>
    </cfRule>
    <cfRule type="expression" dxfId="43" priority="25">
      <formula>$D87&lt;=$D$2</formula>
    </cfRule>
  </conditionalFormatting>
  <conditionalFormatting sqref="F91">
    <cfRule type="expression" dxfId="42" priority="28">
      <formula>$D86=0</formula>
    </cfRule>
    <cfRule type="expression" dxfId="41" priority="29">
      <formula>$D86&gt;$D$2</formula>
    </cfRule>
    <cfRule type="expression" dxfId="40" priority="30">
      <formula>$D86&lt;=$D$2</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242A0-0DA9-4579-A5E6-CCB5CD7F17AB}">
  <dimension ref="B2:K100"/>
  <sheetViews>
    <sheetView showGridLines="0" topLeftCell="G1" workbookViewId="0">
      <selection activeCell="W13" sqref="W13"/>
    </sheetView>
  </sheetViews>
  <sheetFormatPr baseColWidth="10" defaultColWidth="11.5" defaultRowHeight="15"/>
  <cols>
    <col min="1" max="1" width="2.1640625" customWidth="1"/>
    <col min="2" max="2" width="32.33203125" bestFit="1" customWidth="1"/>
    <col min="3" max="3" width="33.33203125" bestFit="1" customWidth="1"/>
    <col min="4" max="5" width="18.33203125" bestFit="1" customWidth="1"/>
    <col min="6" max="6" width="14.5" bestFit="1" customWidth="1"/>
    <col min="7" max="7" width="18" customWidth="1"/>
    <col min="8" max="9" width="18.33203125" bestFit="1" customWidth="1"/>
    <col min="10" max="10" width="16.5" customWidth="1"/>
  </cols>
  <sheetData>
    <row r="2" spans="2:10">
      <c r="B2" t="str">
        <f>SDashboard!C9</f>
        <v>TOTAL</v>
      </c>
      <c r="D2" s="60">
        <f>Settings!E22</f>
        <v>0.9</v>
      </c>
      <c r="E2" s="66"/>
    </row>
    <row r="4" spans="2:10">
      <c r="B4" s="47" t="s">
        <v>107</v>
      </c>
      <c r="C4" s="49" t="s">
        <v>108</v>
      </c>
      <c r="D4" s="50" t="s">
        <v>117</v>
      </c>
    </row>
    <row r="5" spans="2:10">
      <c r="B5" s="19">
        <f>VLOOKUP(Settings!C11,Data!A2:C13,3,FALSE)</f>
        <v>46203</v>
      </c>
      <c r="C5" s="20">
        <f ca="1">TODAY()</f>
        <v>45850</v>
      </c>
      <c r="D5" s="25">
        <f ca="1">_xlfn.DAYS(B5,C5)</f>
        <v>353</v>
      </c>
    </row>
    <row r="6" spans="2:10">
      <c r="G6" s="84"/>
    </row>
    <row r="7" spans="2:10">
      <c r="B7" s="47" t="s">
        <v>110</v>
      </c>
      <c r="C7" s="48" t="s">
        <v>111</v>
      </c>
      <c r="D7" s="43" t="s">
        <v>112</v>
      </c>
    </row>
    <row r="8" spans="2:10">
      <c r="B8" s="46">
        <f>C17</f>
        <v>6</v>
      </c>
      <c r="C8" s="44">
        <f>COUNTIF(F11:F16,"&gt;="&amp;D2)</f>
        <v>3</v>
      </c>
      <c r="D8" s="45">
        <f>COUNTIF(F11:F16,"&lt;"&amp;D2)</f>
        <v>3</v>
      </c>
    </row>
    <row r="10" spans="2:10">
      <c r="B10" s="31" t="str">
        <f>Goals!B11</f>
        <v>ID</v>
      </c>
      <c r="C10" s="32" t="s">
        <v>114</v>
      </c>
      <c r="D10" s="38" t="s">
        <v>103</v>
      </c>
      <c r="E10" s="31" t="s">
        <v>104</v>
      </c>
      <c r="F10" s="30" t="s">
        <v>125</v>
      </c>
      <c r="G10" s="71" t="s">
        <v>121</v>
      </c>
      <c r="H10" s="30" t="s">
        <v>122</v>
      </c>
      <c r="I10" s="71" t="s">
        <v>121</v>
      </c>
      <c r="J10" s="30" t="s">
        <v>181</v>
      </c>
    </row>
    <row r="11" spans="2:10">
      <c r="B11" s="26" t="str">
        <f>IF(Goals!B12="","",Goals!B12)</f>
        <v>Meta 1</v>
      </c>
      <c r="C11" s="9">
        <f>IF(Goals!C12="","",1)</f>
        <v>1</v>
      </c>
      <c r="D11" s="28">
        <f t="shared" ref="D11:D16" si="0">SUMIF($B$20:$B$79,B11,$J$20:$J$79)</f>
        <v>1</v>
      </c>
      <c r="E11" s="28">
        <f t="shared" ref="E11:E16" si="1">SUMIF($B$20:$B$79,B11,$K$20:$K$79)</f>
        <v>0</v>
      </c>
      <c r="F11" s="41">
        <f>AVERAGEIF(I11:J11,"&lt;&gt;0")</f>
        <v>1.1042345276872965</v>
      </c>
      <c r="G11" s="70">
        <f>IFERROR(AVERAGEIF(D20:D29,"=↑",I20:I29),0)</f>
        <v>1.1042345276872965</v>
      </c>
      <c r="H11" s="73">
        <f>IFERROR(AVERAGEIF(D20:D29,"=↓",I20:I29),0)</f>
        <v>0</v>
      </c>
      <c r="I11" s="70">
        <f>G11</f>
        <v>1.1042345276872965</v>
      </c>
      <c r="J11" s="87">
        <f>IF(H11=0,0,$D$2+1-H11)</f>
        <v>0</v>
      </c>
    </row>
    <row r="12" spans="2:10">
      <c r="B12" s="27" t="str">
        <f>IF(Goals!B13="","",Goals!B13)</f>
        <v>Meta 2</v>
      </c>
      <c r="C12" s="9">
        <f>IF(Goals!C13="","",1)</f>
        <v>1</v>
      </c>
      <c r="D12" s="29">
        <f t="shared" si="0"/>
        <v>0</v>
      </c>
      <c r="E12" s="29">
        <f t="shared" si="1"/>
        <v>1</v>
      </c>
      <c r="F12" s="41">
        <f t="shared" ref="F12:F17" si="2">AVERAGEIF(I12:J12,"&lt;&gt;0")</f>
        <v>0.60000000000000009</v>
      </c>
      <c r="G12" s="70">
        <f>IFERROR(AVERAGEIF(D30:D39,"=↑",I30:I39),0)</f>
        <v>0</v>
      </c>
      <c r="H12" s="73">
        <f>IFERROR(AVERAGEIF(D30:D39,"=↓",I30:I39),0)</f>
        <v>1.2999999999999998</v>
      </c>
      <c r="I12" s="70">
        <f t="shared" ref="I12:I16" si="3">G12</f>
        <v>0</v>
      </c>
      <c r="J12" s="87">
        <f t="shared" ref="J12:J16" si="4">IF(H12=0,0,$D$2+1-H12)</f>
        <v>0.60000000000000009</v>
      </c>
    </row>
    <row r="13" spans="2:10">
      <c r="B13" s="27" t="str">
        <f>IF(Goals!B14="","",Goals!B14)</f>
        <v>Meta 3</v>
      </c>
      <c r="C13" s="9">
        <f>IF(Goals!C14="","",1)</f>
        <v>1</v>
      </c>
      <c r="D13" s="29">
        <f t="shared" si="0"/>
        <v>2</v>
      </c>
      <c r="E13" s="29">
        <f t="shared" si="1"/>
        <v>0</v>
      </c>
      <c r="F13" s="41">
        <f t="shared" si="2"/>
        <v>1.2157333333333333</v>
      </c>
      <c r="G13" s="70">
        <f>IFERROR(AVERAGEIF(D40:D49,"=↑",I40:I49),0)</f>
        <v>1.2157333333333333</v>
      </c>
      <c r="H13" s="73">
        <f>IFERROR(AVERAGEIF(D40:D49,"=↓",I40:I49),0)</f>
        <v>0</v>
      </c>
      <c r="I13" s="70">
        <f t="shared" si="3"/>
        <v>1.2157333333333333</v>
      </c>
      <c r="J13" s="87">
        <f t="shared" si="4"/>
        <v>0</v>
      </c>
    </row>
    <row r="14" spans="2:10">
      <c r="B14" s="27" t="str">
        <f>IF(Goals!B15="","",Goals!B15)</f>
        <v>Meta 4</v>
      </c>
      <c r="C14" s="9">
        <f>IF(Goals!C15="","",1)</f>
        <v>1</v>
      </c>
      <c r="D14" s="29">
        <f t="shared" si="0"/>
        <v>1</v>
      </c>
      <c r="E14" s="29">
        <f t="shared" si="1"/>
        <v>1</v>
      </c>
      <c r="F14" s="41">
        <f t="shared" si="2"/>
        <v>0.78333333333333321</v>
      </c>
      <c r="G14" s="70">
        <f>IFERROR(AVERAGEIF(D50:D59,"=↑",I50:I59),0)</f>
        <v>0.91666666666666663</v>
      </c>
      <c r="H14" s="73">
        <f>IFERROR(AVERAGEIF(D50:D59,"=↓",I50:I59),0)</f>
        <v>1.25</v>
      </c>
      <c r="I14" s="70">
        <f t="shared" si="3"/>
        <v>0.91666666666666663</v>
      </c>
      <c r="J14" s="87">
        <f t="shared" si="4"/>
        <v>0.64999999999999991</v>
      </c>
    </row>
    <row r="15" spans="2:10">
      <c r="B15" s="27" t="str">
        <f>IF(Goals!B16="","",Goals!B16)</f>
        <v>Meta 5</v>
      </c>
      <c r="C15" s="9">
        <f>IF(Goals!C16="","",1)</f>
        <v>1</v>
      </c>
      <c r="D15" s="29">
        <f t="shared" si="0"/>
        <v>1</v>
      </c>
      <c r="E15" s="29">
        <f t="shared" si="1"/>
        <v>1</v>
      </c>
      <c r="F15" s="41">
        <f t="shared" si="2"/>
        <v>0.83768896447467867</v>
      </c>
      <c r="G15" s="70">
        <f>IFERROR(AVERAGEIF(D60:D69,"=↑",I60:I69),0)</f>
        <v>0.83768896447467867</v>
      </c>
      <c r="H15" s="73">
        <f>IFERROR(AVERAGEIF(D60:D69,"=↓",I60:I69),0)</f>
        <v>0</v>
      </c>
      <c r="I15" s="70">
        <f t="shared" si="3"/>
        <v>0.83768896447467867</v>
      </c>
      <c r="J15" s="87">
        <f t="shared" si="4"/>
        <v>0</v>
      </c>
    </row>
    <row r="16" spans="2:10">
      <c r="B16" s="27" t="str">
        <f>IF(Goals!B17="","",Goals!B17)</f>
        <v>Meta 6</v>
      </c>
      <c r="C16" s="9">
        <f>IF(Goals!C17="","",1)</f>
        <v>1</v>
      </c>
      <c r="D16" s="29">
        <f t="shared" si="0"/>
        <v>2</v>
      </c>
      <c r="E16" s="29">
        <f t="shared" si="1"/>
        <v>0</v>
      </c>
      <c r="F16" s="41">
        <f t="shared" si="2"/>
        <v>0.96851851851851833</v>
      </c>
      <c r="G16" s="70">
        <f>IFERROR(AVERAGEIF(D70:D79,"=↑",I70:I79),0)</f>
        <v>0.96851851851851833</v>
      </c>
      <c r="H16" s="73">
        <f>IFERROR(AVERAGEIF(D70:D79,"=↓",I70:I79),0)</f>
        <v>0</v>
      </c>
      <c r="I16" s="70">
        <f t="shared" si="3"/>
        <v>0.96851851851851833</v>
      </c>
      <c r="J16" s="87">
        <f t="shared" si="4"/>
        <v>0</v>
      </c>
    </row>
    <row r="17" spans="2:11">
      <c r="B17" s="37" t="s">
        <v>109</v>
      </c>
      <c r="C17" s="38">
        <f>SUM(C11:C16)</f>
        <v>6</v>
      </c>
      <c r="D17" s="38">
        <f>SUM(D11:D16)</f>
        <v>7</v>
      </c>
      <c r="E17" s="38">
        <f>SUM(E11:E16)</f>
        <v>3</v>
      </c>
      <c r="F17" s="42">
        <f t="shared" si="2"/>
        <v>0.86654892668793904</v>
      </c>
      <c r="G17" s="72">
        <f>IFERROR(AVERAGEIFS(I20:I79,D20:D79,"↑",I20:I79,"&lt;&gt;0"),0)</f>
        <v>1.008097853375878</v>
      </c>
      <c r="H17" s="74">
        <f>IFERROR(AVERAGEIFS(I20:I79,D20:D79,"↓",I20:I79,"&lt;&gt;0"),0)</f>
        <v>1.2749999999999999</v>
      </c>
      <c r="I17" s="72">
        <f>G17</f>
        <v>1.008097853375878</v>
      </c>
      <c r="J17" s="88">
        <f>IF(H17=0,0,1+1-H17)</f>
        <v>0.72500000000000009</v>
      </c>
    </row>
    <row r="19" spans="2:11">
      <c r="B19" s="33" t="str">
        <f>'O2'!D11</f>
        <v>Áreas estratégicas</v>
      </c>
      <c r="C19" s="34" t="str">
        <f>'O2'!B11</f>
        <v>Objetivos</v>
      </c>
      <c r="D19" s="35" t="str">
        <f>Lan!F48</f>
        <v>Mejor dirección</v>
      </c>
      <c r="E19" s="34" t="str">
        <f>SA!C10</f>
        <v>Áreas estratégicas</v>
      </c>
      <c r="F19" s="35" t="s">
        <v>113</v>
      </c>
      <c r="G19" s="32" t="str">
        <f>'KPI1'!D12</f>
        <v>Actual</v>
      </c>
      <c r="H19" s="32" t="str">
        <f>'KPI1'!D13</f>
        <v>Meta</v>
      </c>
      <c r="I19" s="32" t="str">
        <f>B2</f>
        <v>TOTAL</v>
      </c>
      <c r="J19" s="32" t="s">
        <v>103</v>
      </c>
      <c r="K19" s="36" t="s">
        <v>104</v>
      </c>
    </row>
    <row r="20" spans="2:11">
      <c r="B20" s="18" t="str">
        <f>'O1'!B10</f>
        <v>Meta 1</v>
      </c>
      <c r="C20" s="12" t="str">
        <f>IF('O1'!$B$12="","",'O1'!$B$12)</f>
        <v>Abrir 2 nuevas sucursales en ciudades turísticas del país antes de julio de 2026.</v>
      </c>
      <c r="D20" s="9" t="str">
        <f>IF(B20="","",'O1'!$G$12)</f>
        <v>↑</v>
      </c>
      <c r="E20" s="12" t="str">
        <f>IF(C20="","",'O1'!$D$12)</f>
        <v>Dirección/Gerencia General (Alta Dirección)</v>
      </c>
      <c r="F20" s="9">
        <f>IF(C20="",0,1)</f>
        <v>1</v>
      </c>
      <c r="G20" s="62">
        <f>IF(C20="","",HLOOKUP($B$2,'KPI1'!$E$11:$R$41,2,FALSE))</f>
        <v>678</v>
      </c>
      <c r="H20" s="62">
        <f>IF(C20="","",HLOOKUP($B$2,'KPI1'!$E$11:$R$41,3,FALSE))</f>
        <v>614</v>
      </c>
      <c r="I20" s="21">
        <f>IF(C20="","",HLOOKUP($B$2,'KPI1'!$E$11:$R$41,4,FALSE))</f>
        <v>1.1042345276872965</v>
      </c>
      <c r="J20" s="9">
        <f>IF(I20="",0,IF(AND(I20&gt;=$D$2,D20="↑"),1,IF(AND(I20&lt;$D$2,D20="↓"),1,0)))</f>
        <v>1</v>
      </c>
      <c r="K20" s="22">
        <f t="shared" ref="K20:K79" si="5">IF(AND(I20&gt;=$D$2,D20="↓"),1,IF(AND(I20&lt;$D$2,D20="↑"),1,0))</f>
        <v>0</v>
      </c>
    </row>
    <row r="21" spans="2:11">
      <c r="B21" s="23" t="str">
        <f>B$20</f>
        <v>Meta 1</v>
      </c>
      <c r="C21" t="str">
        <f>IF('O1'!$B$13="","",'O1'!$B$13)</f>
        <v/>
      </c>
      <c r="D21" s="9">
        <f>IF(B21="","",'O1'!$G$13)</f>
        <v>0</v>
      </c>
      <c r="E21" t="str">
        <f>IF(C21="","",'O1'!$D$13)</f>
        <v/>
      </c>
      <c r="F21" s="9">
        <f t="shared" ref="F21:F28" si="6">IF(C21="",0,1)</f>
        <v>0</v>
      </c>
      <c r="G21" s="63" t="str">
        <f>IF(C21="","",HLOOKUP($B$2,'KPI1'!$E$11:$R$41,5,FALSE))</f>
        <v/>
      </c>
      <c r="H21" s="63" t="str">
        <f>IF(C21="","",HLOOKUP($B$2,'KPI1'!$E$11:$R$41,6,FALSE))</f>
        <v/>
      </c>
      <c r="I21" s="21" t="str">
        <f>IF(C21="","",HLOOKUP($B$2,'KPI1'!$E$11:$R$41,7,FALSE))</f>
        <v/>
      </c>
      <c r="J21" s="9">
        <f t="shared" ref="J21:J79" si="7">IF(I21="",0,IF(AND(I21&gt;=$D$2,D21="↑"),1,IF(AND(I21&lt;$D$2,D21="↓"),1,0)))</f>
        <v>0</v>
      </c>
      <c r="K21" s="22">
        <f t="shared" si="5"/>
        <v>0</v>
      </c>
    </row>
    <row r="22" spans="2:11">
      <c r="B22" s="23" t="str">
        <f t="shared" ref="B22:B29" si="8">B$20</f>
        <v>Meta 1</v>
      </c>
      <c r="C22" t="str">
        <f>IF('O1'!$B$14="","",'O1'!$B$14)</f>
        <v/>
      </c>
      <c r="D22" s="9">
        <f>IF(B22="","",'O1'!$G$14)</f>
        <v>0</v>
      </c>
      <c r="E22" t="str">
        <f>IF(C22="","",'O1'!$D$14)</f>
        <v/>
      </c>
      <c r="F22" s="9">
        <f t="shared" si="6"/>
        <v>0</v>
      </c>
      <c r="G22" s="63" t="str">
        <f>IF(C22="","",HLOOKUP($B$2,'KPI1'!$E$11:$R$41,8,FALSE))</f>
        <v/>
      </c>
      <c r="H22" s="63" t="str">
        <f>IF(C22="","",HLOOKUP($B$2,'KPI1'!$E$11:$R$41,9,FALSE))</f>
        <v/>
      </c>
      <c r="I22" s="21" t="str">
        <f>IF(C22="","",HLOOKUP($B$2,'KPI1'!$E$11:$R$41,10,FALSE))</f>
        <v/>
      </c>
      <c r="J22" s="9">
        <f t="shared" si="7"/>
        <v>0</v>
      </c>
      <c r="K22" s="22">
        <f t="shared" si="5"/>
        <v>0</v>
      </c>
    </row>
    <row r="23" spans="2:11">
      <c r="B23" s="23" t="str">
        <f t="shared" si="8"/>
        <v>Meta 1</v>
      </c>
      <c r="C23" t="str">
        <f>IF('O1'!$B$15="","",'O1'!$B$15)</f>
        <v/>
      </c>
      <c r="D23" s="9">
        <f>IF(B23="","",'O1'!$G$15)</f>
        <v>0</v>
      </c>
      <c r="E23" t="str">
        <f>IF(C23="","",'O1'!$D$15)</f>
        <v/>
      </c>
      <c r="F23" s="9">
        <f t="shared" si="6"/>
        <v>0</v>
      </c>
      <c r="G23" s="63" t="str">
        <f>IF(C23="","",HLOOKUP($B$2,'KPI1'!$E$11:$R$41,11,FALSE))</f>
        <v/>
      </c>
      <c r="H23" s="63" t="str">
        <f>IF(C23="","",HLOOKUP($B$2,'KPI1'!$E$11:$R$41,12,FALSE))</f>
        <v/>
      </c>
      <c r="I23" s="21" t="str">
        <f>IF(C23="","",HLOOKUP($B$2,'KPI1'!$E$11:$R$41,13,FALSE))</f>
        <v/>
      </c>
      <c r="J23" s="9">
        <f t="shared" si="7"/>
        <v>0</v>
      </c>
      <c r="K23" s="22">
        <f t="shared" si="5"/>
        <v>0</v>
      </c>
    </row>
    <row r="24" spans="2:11">
      <c r="B24" s="23" t="str">
        <f t="shared" si="8"/>
        <v>Meta 1</v>
      </c>
      <c r="C24" t="str">
        <f>IF('O1'!$B$16="","",'O1'!$B$16)</f>
        <v/>
      </c>
      <c r="D24" s="9">
        <f>IF(B24="","",'O1'!$G$16)</f>
        <v>0</v>
      </c>
      <c r="E24" t="str">
        <f>IF(C24="","",'O1'!$D$16)</f>
        <v/>
      </c>
      <c r="F24" s="9">
        <f t="shared" si="6"/>
        <v>0</v>
      </c>
      <c r="G24" s="63" t="str">
        <f>IF(C24="","",HLOOKUP($B$2,'KPI1'!$E$11:$R$41,14,FALSE))</f>
        <v/>
      </c>
      <c r="H24" s="63" t="str">
        <f>IF(C24="","",HLOOKUP($B$2,'KPI1'!$E$11:$R$41,15,FALSE))</f>
        <v/>
      </c>
      <c r="I24" s="21" t="str">
        <f>IF(C24="","",HLOOKUP($B$2,'KPI1'!$E$11:$R$41,16,FALSE))</f>
        <v/>
      </c>
      <c r="J24" s="9">
        <f t="shared" si="7"/>
        <v>0</v>
      </c>
      <c r="K24" s="22">
        <f t="shared" si="5"/>
        <v>0</v>
      </c>
    </row>
    <row r="25" spans="2:11">
      <c r="B25" s="23" t="str">
        <f t="shared" si="8"/>
        <v>Meta 1</v>
      </c>
      <c r="C25" t="str">
        <f>IF('O1'!$B$17="","",'O1'!$B$17)</f>
        <v/>
      </c>
      <c r="D25" s="9">
        <f>IF(B25="","",'O1'!$G$17)</f>
        <v>0</v>
      </c>
      <c r="E25" t="str">
        <f>IF(C25="","",'O1'!$D$17)</f>
        <v/>
      </c>
      <c r="F25" s="9">
        <f t="shared" si="6"/>
        <v>0</v>
      </c>
      <c r="G25" s="63" t="str">
        <f>IF(C25="","",HLOOKUP($B$2,'KPI1'!$E$11:$R$41,17,FALSE))</f>
        <v/>
      </c>
      <c r="H25" s="63" t="str">
        <f>IF(C25="","",HLOOKUP($B$2,'KPI1'!$E$11:$R$41,18,FALSE))</f>
        <v/>
      </c>
      <c r="I25" s="21" t="str">
        <f>IF(C25="","",HLOOKUP($B$2,'KPI1'!$E$11:$R$41,19,FALSE))</f>
        <v/>
      </c>
      <c r="J25" s="9">
        <f t="shared" si="7"/>
        <v>0</v>
      </c>
      <c r="K25" s="22">
        <f t="shared" si="5"/>
        <v>0</v>
      </c>
    </row>
    <row r="26" spans="2:11">
      <c r="B26" s="23" t="str">
        <f t="shared" si="8"/>
        <v>Meta 1</v>
      </c>
      <c r="C26" t="str">
        <f>IF('O1'!$B$18="","",'O1'!$B$18)</f>
        <v/>
      </c>
      <c r="D26" s="9">
        <f>IF(B26="","",'O1'!$G$18)</f>
        <v>0</v>
      </c>
      <c r="E26" t="str">
        <f>IF(C26="","",'O1'!$D$18)</f>
        <v/>
      </c>
      <c r="F26" s="9">
        <f t="shared" si="6"/>
        <v>0</v>
      </c>
      <c r="G26" s="63" t="str">
        <f>IF(C26="","",HLOOKUP($B$2,'KPI1'!$E$11:$R$41,20,FALSE))</f>
        <v/>
      </c>
      <c r="H26" s="63" t="str">
        <f>IF(C26="","",HLOOKUP($B$2,'KPI1'!$E$11:$R$41,21,FALSE))</f>
        <v/>
      </c>
      <c r="I26" s="21" t="str">
        <f>IF(C26="","",HLOOKUP($B$2,'KPI1'!$E$11:$R$41,22,FALSE))</f>
        <v/>
      </c>
      <c r="J26" s="9">
        <f t="shared" si="7"/>
        <v>0</v>
      </c>
      <c r="K26" s="22">
        <f t="shared" si="5"/>
        <v>0</v>
      </c>
    </row>
    <row r="27" spans="2:11">
      <c r="B27" s="23" t="str">
        <f t="shared" si="8"/>
        <v>Meta 1</v>
      </c>
      <c r="C27" t="str">
        <f>IF('O1'!$B$19="","",'O1'!$B$19)</f>
        <v/>
      </c>
      <c r="D27" s="9">
        <f>IF(B27="","",'O1'!$G$19)</f>
        <v>0</v>
      </c>
      <c r="E27" t="str">
        <f>IF(C27="","",'O1'!$D$19)</f>
        <v/>
      </c>
      <c r="F27" s="9">
        <f t="shared" si="6"/>
        <v>0</v>
      </c>
      <c r="G27" s="63" t="str">
        <f>IF(C27="","",HLOOKUP($B$2,'KPI1'!$E$11:$R$41,23,FALSE))</f>
        <v/>
      </c>
      <c r="H27" s="63" t="str">
        <f>IF(C27="","",HLOOKUP($B$2,'KPI1'!$E$11:$R$41,24,FALSE))</f>
        <v/>
      </c>
      <c r="I27" s="21" t="str">
        <f>IF(C27="","",HLOOKUP($B$2,'KPI1'!$E$11:$R$41,25,FALSE))</f>
        <v/>
      </c>
      <c r="J27" s="9">
        <f t="shared" si="7"/>
        <v>0</v>
      </c>
      <c r="K27" s="22">
        <f t="shared" si="5"/>
        <v>0</v>
      </c>
    </row>
    <row r="28" spans="2:11">
      <c r="B28" s="23" t="str">
        <f t="shared" si="8"/>
        <v>Meta 1</v>
      </c>
      <c r="C28" t="str">
        <f>IF('O1'!$B$20="","",'O1'!$B$20)</f>
        <v/>
      </c>
      <c r="D28" s="9">
        <f>IF(B28="","",'O1'!$G$20)</f>
        <v>0</v>
      </c>
      <c r="E28" t="str">
        <f>IF(C28="","",'O1'!$D$20)</f>
        <v/>
      </c>
      <c r="F28" s="9">
        <f t="shared" si="6"/>
        <v>0</v>
      </c>
      <c r="G28" s="63" t="str">
        <f>IF(C28="","",HLOOKUP($B$2,'KPI1'!$E$11:$R$41,26,FALSE))</f>
        <v/>
      </c>
      <c r="H28" s="63" t="str">
        <f>IF(C28="","",HLOOKUP($B$2,'KPI1'!$E$11:$R$41,27,FALSE))</f>
        <v/>
      </c>
      <c r="I28" s="21" t="str">
        <f>IF(C28="","",HLOOKUP($B$2,'KPI1'!$E$11:$R$41,28,FALSE))</f>
        <v/>
      </c>
      <c r="J28" s="9">
        <f t="shared" si="7"/>
        <v>0</v>
      </c>
      <c r="K28" s="22">
        <f t="shared" si="5"/>
        <v>0</v>
      </c>
    </row>
    <row r="29" spans="2:11">
      <c r="B29" s="23" t="str">
        <f t="shared" si="8"/>
        <v>Meta 1</v>
      </c>
      <c r="C29" s="14" t="str">
        <f>IF('O1'!$B$21="","",'O1'!$B$21)</f>
        <v/>
      </c>
      <c r="D29" s="13" t="str">
        <f>IF(C29="","",'O1'!$G$21)</f>
        <v/>
      </c>
      <c r="E29" s="14" t="str">
        <f>IF(C29="","",'O1'!$D$21)</f>
        <v/>
      </c>
      <c r="F29" s="9">
        <f>IF(C29="",0,1)</f>
        <v>0</v>
      </c>
      <c r="G29" s="63" t="str">
        <f>IF(C29="","",HLOOKUP($B$2,'KPI1'!$E$11:$R$41,29,FALSE))</f>
        <v/>
      </c>
      <c r="H29" s="63" t="str">
        <f>IF(C29="","",HLOOKUP($B$2,'KPI1'!$E$11:$R$41,30,FALSE))</f>
        <v/>
      </c>
      <c r="I29" s="21" t="str">
        <f>IF(C29="","",HLOOKUP($B$2,'KPI1'!$E$11:$R$41,31,FALSE))</f>
        <v/>
      </c>
      <c r="J29" s="9">
        <f t="shared" si="7"/>
        <v>0</v>
      </c>
      <c r="K29" s="25">
        <f t="shared" si="5"/>
        <v>0</v>
      </c>
    </row>
    <row r="30" spans="2:11">
      <c r="B30" s="18" t="str">
        <f>'O2'!C$10</f>
        <v>Meta 2</v>
      </c>
      <c r="C30" s="12" t="str">
        <f>IF('O2'!$B$12="","",'O2'!$B$12)</f>
        <v>Reducir en 15% los tiempos de producción promedio por lote para diciembre 2025.</v>
      </c>
      <c r="D30" s="9" t="str">
        <f>IF(B30="","",'O2'!$G$12)</f>
        <v>↓</v>
      </c>
      <c r="E30" s="12" t="str">
        <f>IF(C30="","",'O2'!$D$12)</f>
        <v>Operaciones / Producción</v>
      </c>
      <c r="F30" s="68">
        <f>IF(C30="",0,1)</f>
        <v>1</v>
      </c>
      <c r="G30" s="64">
        <f>IF(C30="","",HLOOKUP($B$2,'KPI2'!$E$11:$R$41,2,FALSE))</f>
        <v>2.1666666666666665</v>
      </c>
      <c r="H30" s="64">
        <f>IF(C30="","",HLOOKUP($B$2,'KPI2'!$E$11:$R$41,3,FALSE))</f>
        <v>1.6666666666666667</v>
      </c>
      <c r="I30" s="69">
        <f>IF(C30="","",HLOOKUP($B$2,'KPI2'!$E$11:$R$41,4,FALSE))</f>
        <v>1.2999999999999998</v>
      </c>
      <c r="J30" s="68">
        <f t="shared" si="7"/>
        <v>0</v>
      </c>
      <c r="K30" s="22">
        <f t="shared" si="5"/>
        <v>1</v>
      </c>
    </row>
    <row r="31" spans="2:11">
      <c r="B31" s="23" t="str">
        <f>B$30</f>
        <v>Meta 2</v>
      </c>
      <c r="C31" t="str">
        <f>IF('O2'!$B$13="","",'O2'!$B$13)</f>
        <v/>
      </c>
      <c r="D31" s="9">
        <f>IF(B31="","",'O2'!$G$13)</f>
        <v>0</v>
      </c>
      <c r="E31" t="str">
        <f>IF(C31="","",'O2'!$D$13)</f>
        <v/>
      </c>
      <c r="F31" s="9">
        <f t="shared" ref="F31:F39" si="9">IF(C31="",0,1)</f>
        <v>0</v>
      </c>
      <c r="G31" s="63" t="str">
        <f>IF(C31="","",HLOOKUP($B$2,'KPI2'!$E$11:$R$41,5,FALSE))</f>
        <v/>
      </c>
      <c r="H31" s="63" t="str">
        <f>IF(C31="","",HLOOKUP($B$2,'KPI2'!$E$11:$R$41,6,FALSE))</f>
        <v/>
      </c>
      <c r="I31" s="21" t="str">
        <f>IF(C31="","",HLOOKUP($B$2,'KPI2'!$E$11:$R$41,7,FALSE))</f>
        <v/>
      </c>
      <c r="J31" s="9">
        <f t="shared" si="7"/>
        <v>0</v>
      </c>
      <c r="K31" s="22">
        <f t="shared" si="5"/>
        <v>0</v>
      </c>
    </row>
    <row r="32" spans="2:11">
      <c r="B32" s="23" t="str">
        <f t="shared" ref="B32:B39" si="10">B$30</f>
        <v>Meta 2</v>
      </c>
      <c r="C32" t="str">
        <f>IF('O2'!$B$13="","",'O2'!$B$14)</f>
        <v/>
      </c>
      <c r="D32" s="9">
        <f>IF(B32="","",'O2'!$G$14)</f>
        <v>0</v>
      </c>
      <c r="E32" t="str">
        <f>IF(C32="","",'O2'!$D$14)</f>
        <v/>
      </c>
      <c r="F32" s="9">
        <f t="shared" si="9"/>
        <v>0</v>
      </c>
      <c r="G32" s="63" t="str">
        <f>IF(C32="","",HLOOKUP($B$2,'KPI2'!$E$11:$R$41,8,FALSE))</f>
        <v/>
      </c>
      <c r="H32" s="63" t="str">
        <f>IF(C32="","",HLOOKUP($B$2,'KPI2'!$E$11:$R$41,9,FALSE))</f>
        <v/>
      </c>
      <c r="I32" s="21" t="str">
        <f>IF(C32="","",HLOOKUP($B$2,'KPI2'!$E$11:$R$41,10,FALSE))</f>
        <v/>
      </c>
      <c r="J32" s="9">
        <f t="shared" si="7"/>
        <v>0</v>
      </c>
      <c r="K32" s="22">
        <f t="shared" si="5"/>
        <v>0</v>
      </c>
    </row>
    <row r="33" spans="2:11">
      <c r="B33" s="23" t="str">
        <f t="shared" si="10"/>
        <v>Meta 2</v>
      </c>
      <c r="C33" t="str">
        <f>IF('O2'!$B$15="","",'O2'!$B$15)</f>
        <v/>
      </c>
      <c r="D33" s="9">
        <f>IF(B33="","",'O2'!$G$15)</f>
        <v>0</v>
      </c>
      <c r="E33" t="str">
        <f>IF(C33="","",'O2'!$D$15)</f>
        <v/>
      </c>
      <c r="F33" s="9">
        <f t="shared" si="9"/>
        <v>0</v>
      </c>
      <c r="G33" s="63" t="str">
        <f>IF(C33="","",HLOOKUP($B$2,'KPI2'!$E$11:$R$41,11,FALSE))</f>
        <v/>
      </c>
      <c r="H33" s="63" t="str">
        <f>IF(C33="","",HLOOKUP($B$2,'KPI2'!$E$11:$R$41,12,FALSE))</f>
        <v/>
      </c>
      <c r="I33" s="21" t="str">
        <f>IF(C33="","",HLOOKUP($B$2,'KPI2'!$E$11:$R$41,13,FALSE))</f>
        <v/>
      </c>
      <c r="J33" s="9">
        <f t="shared" si="7"/>
        <v>0</v>
      </c>
      <c r="K33" s="22">
        <f t="shared" si="5"/>
        <v>0</v>
      </c>
    </row>
    <row r="34" spans="2:11">
      <c r="B34" s="23" t="str">
        <f t="shared" si="10"/>
        <v>Meta 2</v>
      </c>
      <c r="C34" t="str">
        <f>IF('O2'!$B$16="","",'O2'!$B$16)</f>
        <v/>
      </c>
      <c r="D34" s="9">
        <f>IF(B34="","",'O2'!$G$16)</f>
        <v>0</v>
      </c>
      <c r="E34" t="str">
        <f>IF(C34="","",'O2'!$D$16)</f>
        <v/>
      </c>
      <c r="F34" s="9">
        <f t="shared" si="9"/>
        <v>0</v>
      </c>
      <c r="G34" s="63" t="str">
        <f>IF(C34="","",HLOOKUP($B$2,'KPI2'!$E$11:$R$41,14,FALSE))</f>
        <v/>
      </c>
      <c r="H34" s="63" t="str">
        <f>IF(C34="","",HLOOKUP($B$2,'KPI2'!$E$11:$R$41,15,FALSE))</f>
        <v/>
      </c>
      <c r="I34" s="21" t="str">
        <f>IF(C34="","",HLOOKUP($B$2,'KPI2'!$E$11:$R$41,16,FALSE))</f>
        <v/>
      </c>
      <c r="J34" s="9">
        <f t="shared" si="7"/>
        <v>0</v>
      </c>
      <c r="K34" s="22">
        <f t="shared" si="5"/>
        <v>0</v>
      </c>
    </row>
    <row r="35" spans="2:11">
      <c r="B35" s="23" t="str">
        <f t="shared" si="10"/>
        <v>Meta 2</v>
      </c>
      <c r="C35" t="str">
        <f>IF('O2'!$B$17="","",'O2'!$B$17)</f>
        <v/>
      </c>
      <c r="D35" s="9">
        <f>IF(B35="","",'O2'!$G$17)</f>
        <v>0</v>
      </c>
      <c r="E35" t="str">
        <f>IF(C35="","",'O2'!$D$17)</f>
        <v/>
      </c>
      <c r="F35" s="9">
        <f t="shared" si="9"/>
        <v>0</v>
      </c>
      <c r="G35" s="63" t="str">
        <f>IF(C35="","",HLOOKUP($B$2,'KPI2'!$E$11:$R$41,17,FALSE))</f>
        <v/>
      </c>
      <c r="H35" s="63" t="str">
        <f>IF(C35="","",HLOOKUP($B$2,'KPI2'!$E$11:$R$41,18,FALSE))</f>
        <v/>
      </c>
      <c r="I35" s="21" t="str">
        <f>IF(C35="","",HLOOKUP($B$2,'KPI2'!$E$11:$R$41,19,FALSE))</f>
        <v/>
      </c>
      <c r="J35" s="9">
        <f t="shared" si="7"/>
        <v>0</v>
      </c>
      <c r="K35" s="22">
        <f t="shared" si="5"/>
        <v>0</v>
      </c>
    </row>
    <row r="36" spans="2:11">
      <c r="B36" s="23" t="str">
        <f t="shared" si="10"/>
        <v>Meta 2</v>
      </c>
      <c r="C36" t="str">
        <f>IF('O2'!$B$18="","",'O2'!$B$18)</f>
        <v/>
      </c>
      <c r="D36" s="9">
        <f>IF(B36="","",'O2'!$G$18)</f>
        <v>0</v>
      </c>
      <c r="E36" t="str">
        <f>IF(C36="","",'O2'!$D$18)</f>
        <v/>
      </c>
      <c r="F36" s="9">
        <f t="shared" si="9"/>
        <v>0</v>
      </c>
      <c r="G36" s="63" t="str">
        <f>IF(C36="","",HLOOKUP($B$2,'KPI2'!$E$11:$R$41,20,FALSE))</f>
        <v/>
      </c>
      <c r="H36" s="63" t="str">
        <f>IF(C36="","",HLOOKUP($B$2,'KPI2'!$E$11:$R$41,21,FALSE))</f>
        <v/>
      </c>
      <c r="I36" s="21" t="str">
        <f>IF(C36="","",HLOOKUP($B$2,'KPI2'!$E$11:$R$41,22,FALSE))</f>
        <v/>
      </c>
      <c r="J36" s="9">
        <f t="shared" si="7"/>
        <v>0</v>
      </c>
      <c r="K36" s="22">
        <f t="shared" si="5"/>
        <v>0</v>
      </c>
    </row>
    <row r="37" spans="2:11">
      <c r="B37" s="23" t="str">
        <f t="shared" si="10"/>
        <v>Meta 2</v>
      </c>
      <c r="C37" t="str">
        <f>IF('O2'!$B$19="","",'O2'!$B$19)</f>
        <v/>
      </c>
      <c r="D37" s="9">
        <f>IF(B37="","",'O2'!$G$19)</f>
        <v>0</v>
      </c>
      <c r="E37" t="str">
        <f>IF(C37="","",'O2'!$D$19)</f>
        <v/>
      </c>
      <c r="F37" s="9">
        <f t="shared" si="9"/>
        <v>0</v>
      </c>
      <c r="G37" s="63" t="str">
        <f>IF(C37="","",HLOOKUP($B$2,'KPI2'!$E$11:$R$41,23,FALSE))</f>
        <v/>
      </c>
      <c r="H37" s="63" t="str">
        <f>IF(C37="","",HLOOKUP($B$2,'KPI2'!$E$11:$R$41,24,FALSE))</f>
        <v/>
      </c>
      <c r="I37" s="21" t="str">
        <f>IF(C37="","",HLOOKUP($B$2,'KPI2'!$E$11:$R$41,25,FALSE))</f>
        <v/>
      </c>
      <c r="J37" s="9">
        <f t="shared" si="7"/>
        <v>0</v>
      </c>
      <c r="K37" s="22">
        <f t="shared" si="5"/>
        <v>0</v>
      </c>
    </row>
    <row r="38" spans="2:11">
      <c r="B38" s="23" t="str">
        <f t="shared" si="10"/>
        <v>Meta 2</v>
      </c>
      <c r="C38" t="str">
        <f>IF('O2'!$B$20="","",'O2'!$B$20)</f>
        <v/>
      </c>
      <c r="D38" s="9">
        <f>IF(B38="","",'O2'!$G$20)</f>
        <v>0</v>
      </c>
      <c r="E38" t="str">
        <f>IF(C38="","",'O2'!$D$20)</f>
        <v/>
      </c>
      <c r="F38" s="9">
        <f t="shared" si="9"/>
        <v>0</v>
      </c>
      <c r="G38" s="63" t="str">
        <f>IF(C38="","",HLOOKUP($B$2,'KPI2'!$E$11:$R$41,26,FALSE))</f>
        <v/>
      </c>
      <c r="H38" s="63" t="str">
        <f>IF(C38="","",HLOOKUP($B$2,'KPI2'!$E$11:$R$41,27,FALSE))</f>
        <v/>
      </c>
      <c r="I38" s="21" t="str">
        <f>IF(C38="","",HLOOKUP($B$2,'KPI2'!$E$11:$R$41,28,FALSE))</f>
        <v/>
      </c>
      <c r="J38" s="9">
        <f t="shared" si="7"/>
        <v>0</v>
      </c>
      <c r="K38" s="22">
        <f t="shared" si="5"/>
        <v>0</v>
      </c>
    </row>
    <row r="39" spans="2:11">
      <c r="B39" s="24" t="str">
        <f t="shared" si="10"/>
        <v>Meta 2</v>
      </c>
      <c r="C39" s="14" t="str">
        <f>IF('O2'!$B$21="","",'O2'!$B$21)</f>
        <v/>
      </c>
      <c r="D39" s="13">
        <f>IF(B39="","",'O2'!$G$21)</f>
        <v>0</v>
      </c>
      <c r="E39" s="14" t="str">
        <f>IF(C39="","",'O2'!$D$21)</f>
        <v/>
      </c>
      <c r="F39" s="13">
        <f t="shared" si="9"/>
        <v>0</v>
      </c>
      <c r="G39" s="65" t="str">
        <f>IF(C39="","",HLOOKUP($B$2,'KPI2'!$E$11:$R$41,29,FALSE))</f>
        <v/>
      </c>
      <c r="H39" s="65" t="str">
        <f>IF(C39="","",HLOOKUP($B$2,'KPI2'!$E$11:$R$41,30,FALSE))</f>
        <v/>
      </c>
      <c r="I39" s="15" t="str">
        <f>IF(C39="","",HLOOKUP($B$2,'KPI2'!$E$11:$R$41,31,FALSE))</f>
        <v/>
      </c>
      <c r="J39" s="13">
        <f t="shared" si="7"/>
        <v>0</v>
      </c>
      <c r="K39" s="25">
        <f t="shared" si="5"/>
        <v>0</v>
      </c>
    </row>
    <row r="40" spans="2:11">
      <c r="B40" s="18" t="str">
        <f>'O3'!D$10</f>
        <v>Meta 3</v>
      </c>
      <c r="C40" s="12" t="str">
        <f>IF('O3'!$B$12="","",'O3'!$B$12)</f>
        <v>Incrementar en 30% el reconocimiento de marca en redes sociales antes de junio de 2026.</v>
      </c>
      <c r="D40" s="9" t="str">
        <f>IF(B40="","",'O3'!$G$12)</f>
        <v>↑</v>
      </c>
      <c r="E40" s="12" t="str">
        <f>IF(C40="","",'O3'!$D$12)</f>
        <v>Comercialización (Marketing y Ventas)</v>
      </c>
      <c r="F40" s="9">
        <f>IF(C40="",0,1)</f>
        <v>1</v>
      </c>
      <c r="G40" s="64">
        <f>IF(C40="","",HLOOKUP($B$2,'KPI3'!$E$11:$R$41,2,FALSE))</f>
        <v>14523</v>
      </c>
      <c r="H40" s="64">
        <f>IF(C40="","",HLOOKUP($B$2,'KPI3'!$E$11:$R$41,3,FALSE))</f>
        <v>10000</v>
      </c>
      <c r="I40" s="69">
        <f>IF(C40="","",HLOOKUP($B$2,'KPI3'!$E$11:$R$41,4,FALSE))</f>
        <v>1.4522999999999999</v>
      </c>
      <c r="J40" s="9">
        <f t="shared" si="7"/>
        <v>1</v>
      </c>
      <c r="K40" s="22">
        <f t="shared" si="5"/>
        <v>0</v>
      </c>
    </row>
    <row r="41" spans="2:11">
      <c r="B41" s="23" t="str">
        <f>B40</f>
        <v>Meta 3</v>
      </c>
      <c r="C41" t="str">
        <f>IF('O3'!$B$13="","",'O3'!$B$13)</f>
        <v>Lograr que 60% de los visitantes recomienden nuestros productos en encuestas de salida para diciembre de 2025.</v>
      </c>
      <c r="D41" s="9" t="str">
        <f>IF(B41="","",'O3'!$G$13)</f>
        <v>↑</v>
      </c>
      <c r="E41" t="str">
        <f>IF(C41="","",'O3'!$D$13)</f>
        <v>Comercialización (Marketing y Ventas)</v>
      </c>
      <c r="F41" s="9">
        <f t="shared" ref="F41:F49" si="11">IF(C41="",0,1)</f>
        <v>1</v>
      </c>
      <c r="G41" s="63">
        <f>IF(C41="","",HLOOKUP($B$2,'KPI3'!$E$11:$R$41,5,FALSE))</f>
        <v>7.833333333333333</v>
      </c>
      <c r="H41" s="63">
        <f>IF(C41="","",HLOOKUP($B$2,'KPI3'!$E$11:$R$41,6,FALSE))</f>
        <v>8</v>
      </c>
      <c r="I41" s="21">
        <f>IF(C41="","",HLOOKUP($B$2,'KPI3'!$E$11:$R$41,7,FALSE))</f>
        <v>0.97916666666666663</v>
      </c>
      <c r="J41" s="9">
        <f t="shared" si="7"/>
        <v>1</v>
      </c>
      <c r="K41" s="22">
        <f t="shared" si="5"/>
        <v>0</v>
      </c>
    </row>
    <row r="42" spans="2:11">
      <c r="B42" s="23" t="str">
        <f t="shared" ref="B42:B49" si="12">B41</f>
        <v>Meta 3</v>
      </c>
      <c r="C42">
        <f>IF('O3'!$B$13="","",'O3'!$B$14)</f>
        <v>0</v>
      </c>
      <c r="D42" s="9">
        <f>IF(B42="","",'O3'!$G$14)</f>
        <v>0</v>
      </c>
      <c r="E42">
        <f>IF(C42="","",'O3'!$D$14)</f>
        <v>0</v>
      </c>
      <c r="F42" s="9">
        <f t="shared" si="11"/>
        <v>1</v>
      </c>
      <c r="G42" s="63" t="str">
        <f>IF(C42="","",HLOOKUP($B$2,'KPI3'!$E$11:$R$41,8,FALSE))</f>
        <v/>
      </c>
      <c r="H42" s="63" t="str">
        <f>IF(C42="","",HLOOKUP($B$2,'KPI3'!$E$11:$R$41,9,FALSE))</f>
        <v/>
      </c>
      <c r="I42" s="21" t="str">
        <f>IF(C42="","",HLOOKUP($B$2,'KPI3'!$E$11:$R$41,10,FALSE))</f>
        <v/>
      </c>
      <c r="J42" s="9">
        <f t="shared" si="7"/>
        <v>0</v>
      </c>
      <c r="K42" s="22">
        <f t="shared" si="5"/>
        <v>0</v>
      </c>
    </row>
    <row r="43" spans="2:11">
      <c r="B43" s="23" t="str">
        <f t="shared" si="12"/>
        <v>Meta 3</v>
      </c>
      <c r="C43" t="str">
        <f>IF('O3'!$B$15="","",'O3'!$B$15)</f>
        <v/>
      </c>
      <c r="D43" s="9">
        <f>IF(B43="","",'O3'!$G$15)</f>
        <v>0</v>
      </c>
      <c r="E43" t="str">
        <f>IF(C43="","",'O3'!$D$15)</f>
        <v/>
      </c>
      <c r="F43" s="9">
        <f t="shared" si="11"/>
        <v>0</v>
      </c>
      <c r="G43" s="63" t="str">
        <f>IF(C43="","",HLOOKUP($B$2,'KPI3'!$E$11:$R$41,11,FALSE))</f>
        <v/>
      </c>
      <c r="H43" s="63" t="str">
        <f>IF(C43="","",HLOOKUP($B$2,'KPI3'!$E$11:$R$41,12,FALSE))</f>
        <v/>
      </c>
      <c r="I43" s="21" t="str">
        <f>IF(C43="","",HLOOKUP($B$2,'KPI3'!$E$11:$R$41,13,FALSE))</f>
        <v/>
      </c>
      <c r="J43" s="9">
        <f t="shared" si="7"/>
        <v>0</v>
      </c>
      <c r="K43" s="22">
        <f t="shared" si="5"/>
        <v>0</v>
      </c>
    </row>
    <row r="44" spans="2:11">
      <c r="B44" s="23" t="str">
        <f t="shared" si="12"/>
        <v>Meta 3</v>
      </c>
      <c r="C44" t="str">
        <f>IF('O3'!$B$16="","",'O3'!$B$16)</f>
        <v/>
      </c>
      <c r="D44" s="9">
        <f>IF(B44="","",'O3'!$G$16)</f>
        <v>0</v>
      </c>
      <c r="E44" t="str">
        <f>IF(C44="","",'O3'!$D$16)</f>
        <v/>
      </c>
      <c r="F44" s="9">
        <f t="shared" si="11"/>
        <v>0</v>
      </c>
      <c r="G44" s="63" t="str">
        <f>IF(C44="","",HLOOKUP($B$2,'KPI3'!$E$11:$R$41,14,FALSE))</f>
        <v/>
      </c>
      <c r="H44" s="63" t="str">
        <f>IF(C44="","",HLOOKUP($B$2,'KPI3'!$E$11:$R$41,15,FALSE))</f>
        <v/>
      </c>
      <c r="I44" s="21" t="str">
        <f>IF(C44="","",HLOOKUP($B$2,'KPI3'!$E$11:$R$41,16,FALSE))</f>
        <v/>
      </c>
      <c r="J44" s="9">
        <f t="shared" si="7"/>
        <v>0</v>
      </c>
      <c r="K44" s="22">
        <f t="shared" si="5"/>
        <v>0</v>
      </c>
    </row>
    <row r="45" spans="2:11">
      <c r="B45" s="23" t="str">
        <f t="shared" si="12"/>
        <v>Meta 3</v>
      </c>
      <c r="C45" t="str">
        <f>IF('O3'!$B$17="","",'O3'!$B$17)</f>
        <v/>
      </c>
      <c r="D45" s="9">
        <f>IF(B45="","",'O3'!$G$17)</f>
        <v>0</v>
      </c>
      <c r="E45" t="str">
        <f>IF(C45="","",'O3'!$D$17)</f>
        <v/>
      </c>
      <c r="F45" s="9">
        <f t="shared" si="11"/>
        <v>0</v>
      </c>
      <c r="G45" s="63" t="str">
        <f>IF(C45="","",HLOOKUP($B$2,'KPI3'!$E$11:$R$41,17,FALSE))</f>
        <v/>
      </c>
      <c r="H45" s="63" t="str">
        <f>IF(C45="","",HLOOKUP($B$2,'KPI3'!$E$11:$R$41,18,FALSE))</f>
        <v/>
      </c>
      <c r="I45" s="21" t="str">
        <f>IF(C45="","",HLOOKUP($B$2,'KPI3'!$E$11:$R$41,19,FALSE))</f>
        <v/>
      </c>
      <c r="J45" s="9">
        <f t="shared" si="7"/>
        <v>0</v>
      </c>
      <c r="K45" s="22">
        <f t="shared" si="5"/>
        <v>0</v>
      </c>
    </row>
    <row r="46" spans="2:11">
      <c r="B46" s="23" t="str">
        <f t="shared" si="12"/>
        <v>Meta 3</v>
      </c>
      <c r="C46" t="str">
        <f>IF('O3'!$B$18="","",'O3'!$B$18)</f>
        <v/>
      </c>
      <c r="D46" s="9">
        <f>IF(B46="","",'O3'!$G$18)</f>
        <v>0</v>
      </c>
      <c r="E46" t="str">
        <f>IF(C46="","",'O3'!$D$18)</f>
        <v/>
      </c>
      <c r="F46" s="9">
        <f t="shared" si="11"/>
        <v>0</v>
      </c>
      <c r="G46" s="63" t="str">
        <f>IF(C46="","",HLOOKUP($B$2,'KPI3'!$E$11:$R$41,20,FALSE))</f>
        <v/>
      </c>
      <c r="H46" s="63" t="str">
        <f>IF(C46="","",HLOOKUP($B$2,'KPI3'!$E$11:$R$41,21,FALSE))</f>
        <v/>
      </c>
      <c r="I46" s="21" t="str">
        <f>IF(C46="","",HLOOKUP($B$2,'KPI3'!$E$11:$R$41,22,FALSE))</f>
        <v/>
      </c>
      <c r="J46" s="9">
        <f t="shared" si="7"/>
        <v>0</v>
      </c>
      <c r="K46" s="22">
        <f t="shared" si="5"/>
        <v>0</v>
      </c>
    </row>
    <row r="47" spans="2:11">
      <c r="B47" s="23" t="str">
        <f t="shared" si="12"/>
        <v>Meta 3</v>
      </c>
      <c r="C47" t="str">
        <f>IF('O3'!$B$19="","",'O3'!$B$19)</f>
        <v/>
      </c>
      <c r="D47" s="9">
        <f>IF(B47="","",'O3'!$G$19)</f>
        <v>0</v>
      </c>
      <c r="E47" t="str">
        <f>IF(C47="","",'O3'!$D$19)</f>
        <v/>
      </c>
      <c r="F47" s="9">
        <f t="shared" si="11"/>
        <v>0</v>
      </c>
      <c r="G47" s="63" t="str">
        <f>IF(C47="","",HLOOKUP($B$2,'KPI3'!$E$11:$R$41,23,FALSE))</f>
        <v/>
      </c>
      <c r="H47" s="63" t="str">
        <f>IF(C47="","",HLOOKUP($B$2,'KPI3'!$E$11:$R$41,24,FALSE))</f>
        <v/>
      </c>
      <c r="I47" s="21" t="str">
        <f>IF(C47="","",HLOOKUP($B$2,'KPI3'!$E$11:$R$41,25,FALSE))</f>
        <v/>
      </c>
      <c r="J47" s="9">
        <f t="shared" si="7"/>
        <v>0</v>
      </c>
      <c r="K47" s="22">
        <f t="shared" si="5"/>
        <v>0</v>
      </c>
    </row>
    <row r="48" spans="2:11">
      <c r="B48" s="23" t="str">
        <f t="shared" si="12"/>
        <v>Meta 3</v>
      </c>
      <c r="C48" t="str">
        <f>IF('O3'!$B$20="","",'O3'!$B$20)</f>
        <v/>
      </c>
      <c r="D48" s="9">
        <f>IF(B48="","",'O3'!$G$20)</f>
        <v>0</v>
      </c>
      <c r="E48" t="str">
        <f>IF(C48="","",'O3'!$D$20)</f>
        <v/>
      </c>
      <c r="F48" s="9">
        <f t="shared" si="11"/>
        <v>0</v>
      </c>
      <c r="G48" s="63" t="str">
        <f>IF(C48="","",HLOOKUP($B$2,'KPI3'!$E$11:$R$41,26,FALSE))</f>
        <v/>
      </c>
      <c r="H48" s="63" t="str">
        <f>IF(C48="","",HLOOKUP($B$2,'KPI3'!$E$11:$R$41,27,FALSE))</f>
        <v/>
      </c>
      <c r="I48" s="21" t="str">
        <f>IF(C48="","",HLOOKUP($B$2,'KPI3'!$E$11:$R$41,28,FALSE))</f>
        <v/>
      </c>
      <c r="J48" s="9">
        <f t="shared" si="7"/>
        <v>0</v>
      </c>
      <c r="K48" s="22">
        <f t="shared" si="5"/>
        <v>0</v>
      </c>
    </row>
    <row r="49" spans="2:11">
      <c r="B49" s="23" t="str">
        <f t="shared" si="12"/>
        <v>Meta 3</v>
      </c>
      <c r="C49" s="14" t="str">
        <f>IF('O3'!$B$21="","",'O3'!$B$21)</f>
        <v/>
      </c>
      <c r="D49" s="13">
        <f>IF(B49="","",'O3'!$G$21)</f>
        <v>0</v>
      </c>
      <c r="E49" s="14" t="str">
        <f>IF(C49="","",'O3'!$D$21)</f>
        <v/>
      </c>
      <c r="F49" s="13">
        <f t="shared" si="11"/>
        <v>0</v>
      </c>
      <c r="G49" s="65" t="str">
        <f>IF(C49="","",HLOOKUP($B$2,'KPI3'!$E$11:$R$41,29,FALSE))</f>
        <v/>
      </c>
      <c r="H49" s="65" t="str">
        <f>IF(C49="","",HLOOKUP($B$2,'KPI3'!$E$11:$R$41,30,FALSE))</f>
        <v/>
      </c>
      <c r="I49" s="15" t="str">
        <f>IF(C49="","",HLOOKUP($B$2,'KPI3'!$E$11:$R$41,31,FALSE))</f>
        <v/>
      </c>
      <c r="J49" s="13">
        <f t="shared" si="7"/>
        <v>0</v>
      </c>
      <c r="K49" s="25">
        <f t="shared" si="5"/>
        <v>0</v>
      </c>
    </row>
    <row r="50" spans="2:11">
      <c r="B50" s="18" t="str">
        <f>'O4'!E$10</f>
        <v>Meta 4</v>
      </c>
      <c r="C50" s="12" t="str">
        <f>IF('O4'!$B$12="","",'O4'!$B$12)</f>
        <v>Obtener la certificación de Buenas Prácticas de Manufactura antes de noviembre de 2026.</v>
      </c>
      <c r="D50" s="9" t="str">
        <f>IF(B50="","",'O4'!$G$12)</f>
        <v>↑</v>
      </c>
      <c r="E50" s="12" t="str">
        <f>IF(C50="","",'O4'!$D$12)</f>
        <v>Administración</v>
      </c>
      <c r="F50" s="9">
        <f>IF(C50="",0,1)</f>
        <v>1</v>
      </c>
      <c r="G50" s="64">
        <f>IF(C50="","",HLOOKUP($B$2,'KPI4'!$E$11:$R$41,2,FALSE))</f>
        <v>0.54999999999999993</v>
      </c>
      <c r="H50" s="64">
        <f>IF(C50="","",HLOOKUP($B$2,'KPI4'!$E$11:$R$41,3,FALSE))</f>
        <v>0.6</v>
      </c>
      <c r="I50" s="69">
        <f>IF(C50="","",HLOOKUP($B$2,'KPI4'!$E$11:$R$41,4,FALSE))</f>
        <v>0.91666666666666663</v>
      </c>
      <c r="J50" s="9">
        <f t="shared" si="7"/>
        <v>1</v>
      </c>
      <c r="K50" s="22">
        <f t="shared" si="5"/>
        <v>0</v>
      </c>
    </row>
    <row r="51" spans="2:11">
      <c r="B51" s="23" t="str">
        <f>B50</f>
        <v>Meta 4</v>
      </c>
      <c r="C51" t="str">
        <f>IF('O4'!$B$13="","",'O4'!$B$13)</f>
        <v>Reducir en 50% las devoluciones por defectos en producto para diciembre de 2025.</v>
      </c>
      <c r="D51" s="9" t="str">
        <f>IF(B51="","",'O4'!$G$13)</f>
        <v>↓</v>
      </c>
      <c r="E51" t="str">
        <f>IF(C51="","",'O4'!$D$13)</f>
        <v>Operaciones / Producción</v>
      </c>
      <c r="F51" s="9">
        <f t="shared" ref="F51:F59" si="13">IF(C51="",0,1)</f>
        <v>1</v>
      </c>
      <c r="G51" s="63">
        <f>IF(C51="","",HLOOKUP($B$2,'KPI4'!$E$11:$R$41,5,FALSE))</f>
        <v>2.5000000000000001E-2</v>
      </c>
      <c r="H51" s="63">
        <f>IF(C51="","",HLOOKUP($B$2,'KPI4'!$E$11:$R$41,6,FALSE))</f>
        <v>0.02</v>
      </c>
      <c r="I51" s="21">
        <f>IF(C51="","",HLOOKUP($B$2,'KPI4'!$E$11:$R$41,7,FALSE))</f>
        <v>1.25</v>
      </c>
      <c r="J51" s="9">
        <f t="shared" si="7"/>
        <v>0</v>
      </c>
      <c r="K51" s="22">
        <f t="shared" si="5"/>
        <v>1</v>
      </c>
    </row>
    <row r="52" spans="2:11">
      <c r="B52" s="23" t="str">
        <f t="shared" ref="B52:B59" si="14">B51</f>
        <v>Meta 4</v>
      </c>
      <c r="C52">
        <f>IF('O4'!$B$13="","",'O4'!$B$14)</f>
        <v>0</v>
      </c>
      <c r="D52" s="9">
        <f>IF(B52="","",'O4'!$G$14)</f>
        <v>0</v>
      </c>
      <c r="E52">
        <f>IF(C52="","",'O4'!$D$14)</f>
        <v>0</v>
      </c>
      <c r="F52" s="9">
        <f t="shared" si="13"/>
        <v>1</v>
      </c>
      <c r="G52" s="63" t="str">
        <f>IF(C52="","",HLOOKUP($B$2,'KPI4'!$E$11:$R$41,8,FALSE))</f>
        <v/>
      </c>
      <c r="H52" s="63" t="str">
        <f>IF(C52="","",HLOOKUP($B$2,'KPI4'!$E$11:$R$41,9,FALSE))</f>
        <v/>
      </c>
      <c r="I52" s="21" t="str">
        <f>IF(C52="","",HLOOKUP($B$2,'KPI4'!$E$11:$R$41,10,FALSE))</f>
        <v/>
      </c>
      <c r="J52" s="9">
        <f t="shared" si="7"/>
        <v>0</v>
      </c>
      <c r="K52" s="22">
        <f t="shared" si="5"/>
        <v>0</v>
      </c>
    </row>
    <row r="53" spans="2:11">
      <c r="B53" s="23" t="str">
        <f t="shared" si="14"/>
        <v>Meta 4</v>
      </c>
      <c r="C53" t="str">
        <f>IF('O4'!$B$15="","",'O4'!$B$15)</f>
        <v/>
      </c>
      <c r="D53" s="9">
        <f>IF(B53="","",'O4'!$G$15)</f>
        <v>0</v>
      </c>
      <c r="E53" t="str">
        <f>IF(C53="","",'O4'!$D$15)</f>
        <v/>
      </c>
      <c r="F53" s="9">
        <f t="shared" si="13"/>
        <v>0</v>
      </c>
      <c r="G53" s="63" t="str">
        <f>IF(C53="","",HLOOKUP($B$2,'KPI4'!$E$11:$R$41,11,FALSE))</f>
        <v/>
      </c>
      <c r="H53" s="63" t="str">
        <f>IF(C53="","",HLOOKUP($B$2,'KPI4'!$E$11:$R$41,12,FALSE))</f>
        <v/>
      </c>
      <c r="I53" s="21" t="str">
        <f>IF(C53="","",HLOOKUP($B$2,'KPI4'!$E$11:$R$41,13,FALSE))</f>
        <v/>
      </c>
      <c r="J53" s="9">
        <f t="shared" si="7"/>
        <v>0</v>
      </c>
      <c r="K53" s="22">
        <f t="shared" si="5"/>
        <v>0</v>
      </c>
    </row>
    <row r="54" spans="2:11">
      <c r="B54" s="23" t="str">
        <f t="shared" si="14"/>
        <v>Meta 4</v>
      </c>
      <c r="C54" t="str">
        <f>IF('O4'!$B$16="","",'O4'!$B$16)</f>
        <v/>
      </c>
      <c r="D54" s="9">
        <f>IF(B54="","",'O4'!$G$16)</f>
        <v>0</v>
      </c>
      <c r="E54" t="str">
        <f>IF(C54="","",'O4'!$D$16)</f>
        <v/>
      </c>
      <c r="F54" s="9">
        <f t="shared" si="13"/>
        <v>0</v>
      </c>
      <c r="G54" s="63" t="str">
        <f>IF(C54="","",HLOOKUP($B$2,'KPI4'!$E$11:$R$41,14,FALSE))</f>
        <v/>
      </c>
      <c r="H54" s="63" t="str">
        <f>IF(C54="","",HLOOKUP($B$2,'KPI4'!$E$11:$R$41,15,FALSE))</f>
        <v/>
      </c>
      <c r="I54" s="21" t="str">
        <f>IF(C54="","",HLOOKUP($B$2,'KPI4'!$E$11:$R$41,16,FALSE))</f>
        <v/>
      </c>
      <c r="J54" s="9">
        <f t="shared" si="7"/>
        <v>0</v>
      </c>
      <c r="K54" s="22">
        <f t="shared" si="5"/>
        <v>0</v>
      </c>
    </row>
    <row r="55" spans="2:11">
      <c r="B55" s="23" t="str">
        <f t="shared" si="14"/>
        <v>Meta 4</v>
      </c>
      <c r="C55" t="str">
        <f>IF('O4'!$B$17="","",'O4'!$B$17)</f>
        <v/>
      </c>
      <c r="D55" s="9">
        <f>IF(B55="","",'O4'!$G$17)</f>
        <v>0</v>
      </c>
      <c r="E55" t="str">
        <f>IF(C55="","",'O4'!$D$17)</f>
        <v/>
      </c>
      <c r="F55" s="9">
        <f t="shared" si="13"/>
        <v>0</v>
      </c>
      <c r="G55" s="63" t="str">
        <f>IF(C55="","",HLOOKUP($B$2,'KPI4'!$E$11:$R$41,17,FALSE))</f>
        <v/>
      </c>
      <c r="H55" s="63" t="str">
        <f>IF(C55="","",HLOOKUP($B$2,'KPI4'!$E$11:$R$41,18,FALSE))</f>
        <v/>
      </c>
      <c r="I55" s="21" t="str">
        <f>IF(C55="","",HLOOKUP($B$2,'KPI4'!$E$11:$R$41,19,FALSE))</f>
        <v/>
      </c>
      <c r="J55" s="9">
        <f t="shared" si="7"/>
        <v>0</v>
      </c>
      <c r="K55" s="22">
        <f t="shared" si="5"/>
        <v>0</v>
      </c>
    </row>
    <row r="56" spans="2:11">
      <c r="B56" s="23" t="str">
        <f t="shared" si="14"/>
        <v>Meta 4</v>
      </c>
      <c r="C56" t="str">
        <f>IF('O4'!$B$18="","",'O4'!$B$18)</f>
        <v/>
      </c>
      <c r="D56" s="9">
        <f>IF(B56="","",'O4'!$G$18)</f>
        <v>0</v>
      </c>
      <c r="E56" t="str">
        <f>IF(C56="","",'O4'!$D$18)</f>
        <v/>
      </c>
      <c r="F56" s="9">
        <f t="shared" si="13"/>
        <v>0</v>
      </c>
      <c r="G56" s="63" t="str">
        <f>IF(C56="","",HLOOKUP($B$2,'KPI4'!$E$11:$R$41,20,FALSE))</f>
        <v/>
      </c>
      <c r="H56" s="63" t="str">
        <f>IF(C56="","",HLOOKUP($B$2,'KPI4'!$E$11:$R$41,21,FALSE))</f>
        <v/>
      </c>
      <c r="I56" s="21" t="str">
        <f>IF(C56="","",HLOOKUP($B$2,'KPI4'!$E$11:$R$41,22,FALSE))</f>
        <v/>
      </c>
      <c r="J56" s="9">
        <f t="shared" si="7"/>
        <v>0</v>
      </c>
      <c r="K56" s="22">
        <f t="shared" si="5"/>
        <v>0</v>
      </c>
    </row>
    <row r="57" spans="2:11">
      <c r="B57" s="23" t="str">
        <f t="shared" si="14"/>
        <v>Meta 4</v>
      </c>
      <c r="C57" t="str">
        <f>IF('O4'!$B$19="","",'O4'!$B$19)</f>
        <v/>
      </c>
      <c r="D57" s="9">
        <f>IF(B57="","",'O4'!$G$19)</f>
        <v>0</v>
      </c>
      <c r="E57" t="str">
        <f>IF(C57="","",'O4'!$D$19)</f>
        <v/>
      </c>
      <c r="F57" s="9">
        <f t="shared" si="13"/>
        <v>0</v>
      </c>
      <c r="G57" s="63" t="str">
        <f>IF(C57="","",HLOOKUP($B$2,'KPI4'!$E$11:$R$41,23,FALSE))</f>
        <v/>
      </c>
      <c r="H57" s="63" t="str">
        <f>IF(C57="","",HLOOKUP($B$2,'KPI4'!$E$11:$R$41,24,FALSE))</f>
        <v/>
      </c>
      <c r="I57" s="21" t="str">
        <f>IF(C57="","",HLOOKUP($B$2,'KPI4'!$E$11:$R$41,25,FALSE))</f>
        <v/>
      </c>
      <c r="J57" s="9">
        <f t="shared" si="7"/>
        <v>0</v>
      </c>
      <c r="K57" s="22">
        <f t="shared" si="5"/>
        <v>0</v>
      </c>
    </row>
    <row r="58" spans="2:11">
      <c r="B58" s="23" t="str">
        <f t="shared" si="14"/>
        <v>Meta 4</v>
      </c>
      <c r="C58" t="str">
        <f>IF('O4'!$B$20="","",'O4'!$B$20)</f>
        <v/>
      </c>
      <c r="D58" s="9">
        <f>IF(B58="","",'O4'!$G$20)</f>
        <v>0</v>
      </c>
      <c r="E58" t="str">
        <f>IF(C58="","",'O4'!$D$20)</f>
        <v/>
      </c>
      <c r="F58" s="9">
        <f t="shared" si="13"/>
        <v>0</v>
      </c>
      <c r="G58" s="63" t="str">
        <f>IF(C58="","",HLOOKUP($B$2,'KPI4'!$E$11:$R$41,26,FALSE))</f>
        <v/>
      </c>
      <c r="H58" s="63" t="str">
        <f>IF(C58="","",HLOOKUP($B$2,'KPI4'!$E$11:$R$41,27,FALSE))</f>
        <v/>
      </c>
      <c r="I58" s="21" t="str">
        <f>IF(C58="","",HLOOKUP($B$2,'KPI4'!$E$11:$R$41,28,FALSE))</f>
        <v/>
      </c>
      <c r="J58" s="9">
        <f t="shared" si="7"/>
        <v>0</v>
      </c>
      <c r="K58" s="22">
        <f t="shared" si="5"/>
        <v>0</v>
      </c>
    </row>
    <row r="59" spans="2:11">
      <c r="B59" s="23" t="str">
        <f t="shared" si="14"/>
        <v>Meta 4</v>
      </c>
      <c r="C59" s="14" t="str">
        <f>IF('O4'!$B$21="","",'O4'!$B$21)</f>
        <v/>
      </c>
      <c r="D59" s="13">
        <f>IF(B59="","",'O4'!$G$21)</f>
        <v>0</v>
      </c>
      <c r="E59" s="14" t="str">
        <f>IF(C59="","",'O4'!$D$21)</f>
        <v/>
      </c>
      <c r="F59" s="13">
        <f t="shared" si="13"/>
        <v>0</v>
      </c>
      <c r="G59" s="65" t="str">
        <f>IF(C59="","",HLOOKUP($B$2,'KPI4'!$E$11:$R$41,29,FALSE))</f>
        <v/>
      </c>
      <c r="H59" s="65" t="str">
        <f>IF(C59="","",HLOOKUP($B$2,'KPI4'!$E$11:$R$41,30,FALSE))</f>
        <v/>
      </c>
      <c r="I59" s="15" t="str">
        <f>IF(C59="","",HLOOKUP($B$2,'KPI4'!$E$11:$R$41,31,FALSE))</f>
        <v/>
      </c>
      <c r="J59" s="13">
        <f t="shared" si="7"/>
        <v>0</v>
      </c>
      <c r="K59" s="25">
        <f t="shared" si="5"/>
        <v>0</v>
      </c>
    </row>
    <row r="60" spans="2:11">
      <c r="B60" s="18" t="str">
        <f>'O5'!F$10</f>
        <v>Meta 5</v>
      </c>
      <c r="C60" s="12" t="str">
        <f>IF('O5'!$B$12="","",'O5'!$B$12)</f>
        <v>Lanzar una tienda en línea funcional antes de marzo de 2026.</v>
      </c>
      <c r="D60" s="9" t="str">
        <f>IF(B60="","",'O5'!$G$12)</f>
        <v>↑</v>
      </c>
      <c r="E60" s="12" t="str">
        <f>IF(C60="","",'O5'!$D$12)</f>
        <v>Tecnología / Sistemas / Innovación</v>
      </c>
      <c r="F60" s="9">
        <f>IF(C60="",0,1)</f>
        <v>1</v>
      </c>
      <c r="G60" s="64">
        <f>IF(C60="","",HLOOKUP($B$2,'KPI5'!$E$11:$R$41,2,FALSE))</f>
        <v>10.49</v>
      </c>
      <c r="H60" s="64">
        <f>IF(C60="","",HLOOKUP($B$2,'KPI5'!$E$11:$R$41,3,FALSE))</f>
        <v>10.800000000000002</v>
      </c>
      <c r="I60" s="69">
        <f>IF(C60="","",HLOOKUP($B$2,'KPI5'!$E$11:$R$41,4,FALSE))</f>
        <v>0.9712962962962961</v>
      </c>
      <c r="J60" s="9">
        <f t="shared" si="7"/>
        <v>1</v>
      </c>
      <c r="K60" s="22">
        <f t="shared" si="5"/>
        <v>0</v>
      </c>
    </row>
    <row r="61" spans="2:11">
      <c r="B61" s="23" t="str">
        <f>B60</f>
        <v>Meta 5</v>
      </c>
      <c r="C61" t="str">
        <f>IF('O5'!$B$13="","",'O5'!$B$13)</f>
        <v>Generar $1,000,000 MXN en ventas digitales acumuladas para diciembre de 2026.</v>
      </c>
      <c r="D61" s="9" t="str">
        <f>IF(B61="","",'O5'!$G$13)</f>
        <v>↑</v>
      </c>
      <c r="E61" t="str">
        <f>IF(C61="","",'O5'!$D$13)</f>
        <v>Comercialización (Marketing y Ventas)</v>
      </c>
      <c r="F61" s="9">
        <f t="shared" ref="F61:F69" si="15">IF(C61="",0,1)</f>
        <v>1</v>
      </c>
      <c r="G61" s="63">
        <f>IF(C61="","",HLOOKUP($B$2,'KPI5'!$E$11:$R$41,5,FALSE))</f>
        <v>0.69</v>
      </c>
      <c r="H61" s="63">
        <f>IF(C61="","",HLOOKUP($B$2,'KPI5'!$E$11:$R$41,6,FALSE))</f>
        <v>0.98</v>
      </c>
      <c r="I61" s="21">
        <f>IF(C61="","",HLOOKUP($B$2,'KPI5'!$E$11:$R$41,7,FALSE))</f>
        <v>0.70408163265306123</v>
      </c>
      <c r="J61" s="9">
        <f t="shared" si="7"/>
        <v>0</v>
      </c>
      <c r="K61" s="22">
        <f t="shared" si="5"/>
        <v>1</v>
      </c>
    </row>
    <row r="62" spans="2:11">
      <c r="B62" s="23" t="str">
        <f t="shared" ref="B62:B69" si="16">B61</f>
        <v>Meta 5</v>
      </c>
      <c r="C62">
        <f>IF('O5'!$B$13="","",'O5'!$B$14)</f>
        <v>0</v>
      </c>
      <c r="D62" s="9">
        <f>IF(B62="","",'O5'!$G$14)</f>
        <v>0</v>
      </c>
      <c r="E62">
        <f>IF(C62="","",'O5'!$D$14)</f>
        <v>0</v>
      </c>
      <c r="F62" s="9">
        <f t="shared" si="15"/>
        <v>1</v>
      </c>
      <c r="G62" s="63" t="str">
        <f>IF(C62="","",HLOOKUP($B$2,'KPI5'!$E$11:$R$41,8,FALSE))</f>
        <v/>
      </c>
      <c r="H62" s="63" t="str">
        <f>IF(C62="","",HLOOKUP($B$2,'KPI5'!$E$11:$R$41,9,FALSE))</f>
        <v/>
      </c>
      <c r="I62" s="21" t="str">
        <f>IF(C62="","",HLOOKUP($B$2,'KPI5'!$E$11:$R$41,10,FALSE))</f>
        <v/>
      </c>
      <c r="J62" s="9">
        <f t="shared" si="7"/>
        <v>0</v>
      </c>
      <c r="K62" s="22">
        <f t="shared" si="5"/>
        <v>0</v>
      </c>
    </row>
    <row r="63" spans="2:11">
      <c r="B63" s="23" t="str">
        <f t="shared" si="16"/>
        <v>Meta 5</v>
      </c>
      <c r="C63" t="str">
        <f>IF('O5'!$B$15="","",'O5'!$B$15)</f>
        <v/>
      </c>
      <c r="D63" s="9">
        <f>IF(B63="","",'O5'!$G$15)</f>
        <v>0</v>
      </c>
      <c r="E63" t="str">
        <f>IF(C63="","",'O5'!$D$15)</f>
        <v/>
      </c>
      <c r="F63" s="9">
        <f t="shared" si="15"/>
        <v>0</v>
      </c>
      <c r="G63" s="63" t="str">
        <f>IF(C63="","",HLOOKUP($B$2,'KPI5'!$E$11:$R$41,11,FALSE))</f>
        <v/>
      </c>
      <c r="H63" s="63" t="str">
        <f>IF(C63="","",HLOOKUP($B$2,'KPI5'!$E$11:$R$41,12,FALSE))</f>
        <v/>
      </c>
      <c r="I63" s="21" t="str">
        <f>IF(C63="","",HLOOKUP($B$2,'KPI5'!$E$11:$R$41,13,FALSE))</f>
        <v/>
      </c>
      <c r="J63" s="9">
        <f t="shared" si="7"/>
        <v>0</v>
      </c>
      <c r="K63" s="22">
        <f t="shared" si="5"/>
        <v>0</v>
      </c>
    </row>
    <row r="64" spans="2:11">
      <c r="B64" s="23" t="str">
        <f t="shared" si="16"/>
        <v>Meta 5</v>
      </c>
      <c r="C64" t="str">
        <f>IF('O5'!$B$16="","",'O5'!$B$16)</f>
        <v/>
      </c>
      <c r="D64" s="9">
        <f>IF(B64="","",'O5'!$G$16)</f>
        <v>0</v>
      </c>
      <c r="E64" t="str">
        <f>IF(C64="","",'O5'!$D$16)</f>
        <v/>
      </c>
      <c r="F64" s="9">
        <f t="shared" si="15"/>
        <v>0</v>
      </c>
      <c r="G64" s="63" t="str">
        <f>IF(C64="","",HLOOKUP($B$2,'KPI5'!$E$11:$R$41,14,FALSE))</f>
        <v/>
      </c>
      <c r="H64" s="63" t="str">
        <f>IF(C64="","",HLOOKUP($B$2,'KPI5'!$E$11:$R$41,15,FALSE))</f>
        <v/>
      </c>
      <c r="I64" s="21" t="str">
        <f>IF(C64="","",HLOOKUP($B$2,'KPI5'!$E$11:$R$41,16,FALSE))</f>
        <v/>
      </c>
      <c r="J64" s="9">
        <f t="shared" si="7"/>
        <v>0</v>
      </c>
      <c r="K64" s="22">
        <f t="shared" si="5"/>
        <v>0</v>
      </c>
    </row>
    <row r="65" spans="2:11">
      <c r="B65" s="23" t="str">
        <f t="shared" si="16"/>
        <v>Meta 5</v>
      </c>
      <c r="C65" t="str">
        <f>IF('O5'!$B$17="","",'O5'!$B$17)</f>
        <v/>
      </c>
      <c r="D65" s="9">
        <f>IF(B65="","",'O5'!$G$17)</f>
        <v>0</v>
      </c>
      <c r="E65" t="str">
        <f>IF(C65="","",'O5'!$D$17)</f>
        <v/>
      </c>
      <c r="F65" s="9">
        <f t="shared" si="15"/>
        <v>0</v>
      </c>
      <c r="G65" s="63" t="str">
        <f>IF(C65="","",HLOOKUP($B$2,'KPI5'!$E$11:$R$41,17,FALSE))</f>
        <v/>
      </c>
      <c r="H65" s="63" t="str">
        <f>IF(C65="","",HLOOKUP($B$2,'KPI5'!$E$11:$R$41,18,FALSE))</f>
        <v/>
      </c>
      <c r="I65" s="21" t="str">
        <f>IF(C65="","",HLOOKUP($B$2,'KPI5'!$E$11:$R$41,19,FALSE))</f>
        <v/>
      </c>
      <c r="J65" s="9">
        <f t="shared" si="7"/>
        <v>0</v>
      </c>
      <c r="K65" s="22">
        <f t="shared" si="5"/>
        <v>0</v>
      </c>
    </row>
    <row r="66" spans="2:11">
      <c r="B66" s="23" t="str">
        <f t="shared" si="16"/>
        <v>Meta 5</v>
      </c>
      <c r="C66" t="str">
        <f>IF('O5'!$B$18="","",'O5'!$B$18)</f>
        <v/>
      </c>
      <c r="D66" s="9">
        <f>IF(B66="","",'O5'!$G$18)</f>
        <v>0</v>
      </c>
      <c r="E66" t="str">
        <f>IF(C66="","",'O5'!$D$18)</f>
        <v/>
      </c>
      <c r="F66" s="9">
        <f t="shared" si="15"/>
        <v>0</v>
      </c>
      <c r="G66" s="63" t="str">
        <f>IF(C66="","",HLOOKUP($B$2,'KPI5'!$E$11:$R$41,20,FALSE))</f>
        <v/>
      </c>
      <c r="H66" s="63" t="str">
        <f>IF(C66="","",HLOOKUP($B$2,'KPI5'!$E$11:$R$41,21,FALSE))</f>
        <v/>
      </c>
      <c r="I66" s="21" t="str">
        <f>IF(C66="","",HLOOKUP($B$2,'KPI5'!$E$11:$R$41,22,FALSE))</f>
        <v/>
      </c>
      <c r="J66" s="9">
        <f t="shared" si="7"/>
        <v>0</v>
      </c>
      <c r="K66" s="22">
        <f t="shared" si="5"/>
        <v>0</v>
      </c>
    </row>
    <row r="67" spans="2:11">
      <c r="B67" s="23" t="str">
        <f t="shared" si="16"/>
        <v>Meta 5</v>
      </c>
      <c r="C67" t="str">
        <f>IF('O5'!$B$19="","",'O5'!$B$19)</f>
        <v/>
      </c>
      <c r="D67" s="9">
        <f>IF(B67="","",'O5'!$G$19)</f>
        <v>0</v>
      </c>
      <c r="E67" t="str">
        <f>IF(C67="","",'O5'!$D$19)</f>
        <v/>
      </c>
      <c r="F67" s="9">
        <f t="shared" si="15"/>
        <v>0</v>
      </c>
      <c r="G67" s="63" t="str">
        <f>IF(C67="","",HLOOKUP($B$2,'KPI5'!$E$11:$R$41,23,FALSE))</f>
        <v/>
      </c>
      <c r="H67" s="63" t="str">
        <f>IF(C67="","",HLOOKUP($B$2,'KPI5'!$E$11:$R$41,24,FALSE))</f>
        <v/>
      </c>
      <c r="I67" s="21" t="str">
        <f>IF(C67="","",HLOOKUP($B$2,'KPI5'!$E$11:$R$41,25,FALSE))</f>
        <v/>
      </c>
      <c r="J67" s="9">
        <f t="shared" si="7"/>
        <v>0</v>
      </c>
      <c r="K67" s="22">
        <f t="shared" si="5"/>
        <v>0</v>
      </c>
    </row>
    <row r="68" spans="2:11">
      <c r="B68" s="23" t="str">
        <f t="shared" si="16"/>
        <v>Meta 5</v>
      </c>
      <c r="C68" t="str">
        <f>IF('O5'!$B$20="","",'O5'!$B$20)</f>
        <v/>
      </c>
      <c r="D68" s="9">
        <f>IF(B68="","",'O5'!$G$20)</f>
        <v>0</v>
      </c>
      <c r="E68" t="str">
        <f>IF(C68="","",'O5'!$D$20)</f>
        <v/>
      </c>
      <c r="F68" s="9">
        <f t="shared" si="15"/>
        <v>0</v>
      </c>
      <c r="G68" s="63" t="str">
        <f>IF(C68="","",HLOOKUP($B$2,'KPI5'!$E$11:$R$41,26,FALSE))</f>
        <v/>
      </c>
      <c r="H68" s="63" t="str">
        <f>IF(C68="","",HLOOKUP($B$2,'KPI5'!$E$11:$R$41,27,FALSE))</f>
        <v/>
      </c>
      <c r="I68" s="21" t="str">
        <f>IF(C68="","",HLOOKUP($B$2,'KPI5'!$E$11:$R$41,28,FALSE))</f>
        <v/>
      </c>
      <c r="J68" s="9">
        <f t="shared" si="7"/>
        <v>0</v>
      </c>
      <c r="K68" s="22">
        <f t="shared" si="5"/>
        <v>0</v>
      </c>
    </row>
    <row r="69" spans="2:11">
      <c r="B69" s="23" t="str">
        <f t="shared" si="16"/>
        <v>Meta 5</v>
      </c>
      <c r="C69" s="14" t="str">
        <f>IF('O5'!$B$21="","",'O5'!$B$21)</f>
        <v/>
      </c>
      <c r="D69" s="13">
        <f>IF(B69="","",'O5'!$G$21)</f>
        <v>0</v>
      </c>
      <c r="E69" s="14" t="str">
        <f>IF(C69="","",'O5'!$D$21)</f>
        <v/>
      </c>
      <c r="F69" s="13">
        <f t="shared" si="15"/>
        <v>0</v>
      </c>
      <c r="G69" s="65" t="str">
        <f>IF(C69="","",HLOOKUP($B$2,'KPI5'!$E$11:$R$41,29,FALSE))</f>
        <v/>
      </c>
      <c r="H69" s="65" t="str">
        <f>IF(C69="","",HLOOKUP($B$2,'KPI5'!$E$11:$R$41,30,FALSE))</f>
        <v/>
      </c>
      <c r="I69" s="15" t="str">
        <f>IF(C69="","",HLOOKUP($B$2,'KPI5'!$E$11:$R$41,31,FALSE))</f>
        <v/>
      </c>
      <c r="J69" s="13">
        <f t="shared" si="7"/>
        <v>0</v>
      </c>
      <c r="K69" s="25">
        <f t="shared" si="5"/>
        <v>0</v>
      </c>
    </row>
    <row r="70" spans="2:11">
      <c r="B70" s="18" t="str">
        <f>'O6'!G$10</f>
        <v>Meta 6</v>
      </c>
      <c r="C70" s="12" t="str">
        <f>IF('O6'!$B$12="","",'O6'!$B$12)</f>
        <v>Implementar un plan anual de capacitación para todos los colaboradores antes de enero de 2026.</v>
      </c>
      <c r="D70" s="9" t="str">
        <f>IF(B70="","",'O6'!$G$12)</f>
        <v>↑</v>
      </c>
      <c r="E70" s="12" t="str">
        <f>IF(C70="","",'O6'!$D$12)</f>
        <v>Recursos Humanos</v>
      </c>
      <c r="F70" s="9">
        <f>IF(C70="",0,1)</f>
        <v>1</v>
      </c>
      <c r="G70" s="64">
        <f>IF(C70="","",HLOOKUP($B$2,'KPI6'!$E$11:$R$41,2,FALSE))</f>
        <v>1039</v>
      </c>
      <c r="H70" s="64">
        <f>IF(C70="","",HLOOKUP($B$2,'KPI6'!$E$11:$R$41,3,FALSE))</f>
        <v>1080</v>
      </c>
      <c r="I70" s="69">
        <f>IF(C70="","",HLOOKUP($B$2,'KPI6'!$E$11:$R$41,4,FALSE))</f>
        <v>0.96203703703703702</v>
      </c>
      <c r="J70" s="9">
        <f t="shared" si="7"/>
        <v>1</v>
      </c>
      <c r="K70" s="22">
        <f t="shared" si="5"/>
        <v>0</v>
      </c>
    </row>
    <row r="71" spans="2:11">
      <c r="B71" s="23" t="str">
        <f>B70</f>
        <v>Meta 6</v>
      </c>
      <c r="C71" t="str">
        <f>IF('O6'!$B$13="","",'O6'!$B$13)</f>
        <v>Lograr que el 80% del personal operativo participe en al menos una capacitación al año.</v>
      </c>
      <c r="D71" s="9" t="str">
        <f>IF(B71="","",'O6'!$G$13)</f>
        <v>↑</v>
      </c>
      <c r="E71" t="str">
        <f>IF(C71="","",'O6'!$D$13)</f>
        <v>Recursos Humanos</v>
      </c>
      <c r="F71" s="9">
        <f t="shared" ref="F71:F79" si="17">IF(C71="",0,1)</f>
        <v>1</v>
      </c>
      <c r="G71" s="63">
        <f>IF(C71="","",HLOOKUP($B$2,'KPI6'!$E$11:$R$41,5,FALSE))</f>
        <v>0.87750000000000006</v>
      </c>
      <c r="H71" s="63">
        <f>IF(C71="","",HLOOKUP($B$2,'KPI6'!$E$11:$R$41,6,FALSE))</f>
        <v>0.90000000000000024</v>
      </c>
      <c r="I71" s="21">
        <f>IF(C71="","",HLOOKUP($B$2,'KPI6'!$E$11:$R$41,7,FALSE))</f>
        <v>0.97499999999999976</v>
      </c>
      <c r="J71" s="9">
        <f t="shared" si="7"/>
        <v>1</v>
      </c>
      <c r="K71" s="22">
        <f t="shared" si="5"/>
        <v>0</v>
      </c>
    </row>
    <row r="72" spans="2:11">
      <c r="B72" s="23" t="str">
        <f t="shared" ref="B72:B79" si="18">B71</f>
        <v>Meta 6</v>
      </c>
      <c r="C72">
        <f>IF('O6'!$B$13="","",'O6'!$B$14)</f>
        <v>0</v>
      </c>
      <c r="D72" s="9">
        <f>IF(B72="","",'O6'!$G$14)</f>
        <v>0</v>
      </c>
      <c r="E72">
        <f>IF(C72="","",'O6'!$D$14)</f>
        <v>0</v>
      </c>
      <c r="F72" s="9">
        <f t="shared" si="17"/>
        <v>1</v>
      </c>
      <c r="G72" s="63" t="str">
        <f>IF(C72="","",HLOOKUP($B$2,'KPI6'!$E$11:$R$41,8,FALSE))</f>
        <v/>
      </c>
      <c r="H72" s="63" t="str">
        <f>IF(C72="","",HLOOKUP($B$2,'KPI6'!$E$11:$R$41,9,FALSE))</f>
        <v/>
      </c>
      <c r="I72" s="21" t="str">
        <f>IF(C72="","",HLOOKUP($B$2,'KPI6'!$E$11:$R$41,10,FALSE))</f>
        <v/>
      </c>
      <c r="J72" s="9">
        <f t="shared" si="7"/>
        <v>0</v>
      </c>
      <c r="K72" s="22">
        <f t="shared" si="5"/>
        <v>0</v>
      </c>
    </row>
    <row r="73" spans="2:11">
      <c r="B73" s="23" t="str">
        <f t="shared" si="18"/>
        <v>Meta 6</v>
      </c>
      <c r="C73" t="str">
        <f>IF('O6'!$B$15="","",'O6'!$B$15)</f>
        <v/>
      </c>
      <c r="D73" s="9">
        <f>IF(B73="","",'O6'!$G$15)</f>
        <v>0</v>
      </c>
      <c r="E73" t="str">
        <f>IF(C73="","",'O6'!$D$15)</f>
        <v/>
      </c>
      <c r="F73" s="9">
        <f t="shared" si="17"/>
        <v>0</v>
      </c>
      <c r="G73" s="63" t="str">
        <f>IF(C73="","",HLOOKUP($B$2,'KPI6'!$E$11:$R$41,11,FALSE))</f>
        <v/>
      </c>
      <c r="H73" s="63" t="str">
        <f>IF(C73="","",HLOOKUP($B$2,'KPI6'!$E$11:$R$41,12,FALSE))</f>
        <v/>
      </c>
      <c r="I73" s="21" t="str">
        <f>IF(C73="","",HLOOKUP($B$2,'KPI6'!$E$11:$R$41,13,FALSE))</f>
        <v/>
      </c>
      <c r="J73" s="9">
        <f t="shared" si="7"/>
        <v>0</v>
      </c>
      <c r="K73" s="22">
        <f t="shared" si="5"/>
        <v>0</v>
      </c>
    </row>
    <row r="74" spans="2:11">
      <c r="B74" s="23" t="str">
        <f t="shared" si="18"/>
        <v>Meta 6</v>
      </c>
      <c r="C74" t="str">
        <f>IF('O6'!$B$16="","",'O6'!$B$16)</f>
        <v/>
      </c>
      <c r="D74" s="9">
        <f>IF(B74="","",'O6'!$G$16)</f>
        <v>0</v>
      </c>
      <c r="E74" t="str">
        <f>IF(C74="","",'O6'!$D$16)</f>
        <v/>
      </c>
      <c r="F74" s="9">
        <f t="shared" si="17"/>
        <v>0</v>
      </c>
      <c r="G74" s="63" t="str">
        <f>IF(C74="","",HLOOKUP($B$2,'KPI6'!$E$11:$R$41,14,FALSE))</f>
        <v/>
      </c>
      <c r="H74" s="63" t="str">
        <f>IF(C74="","",HLOOKUP($B$2,'KPI6'!$E$11:$R$41,15,FALSE))</f>
        <v/>
      </c>
      <c r="I74" s="21" t="str">
        <f>IF(C74="","",HLOOKUP($B$2,'KPI6'!$E$11:$R$41,16,FALSE))</f>
        <v/>
      </c>
      <c r="J74" s="9">
        <f t="shared" si="7"/>
        <v>0</v>
      </c>
      <c r="K74" s="22">
        <f t="shared" si="5"/>
        <v>0</v>
      </c>
    </row>
    <row r="75" spans="2:11">
      <c r="B75" s="23" t="str">
        <f t="shared" si="18"/>
        <v>Meta 6</v>
      </c>
      <c r="C75" t="str">
        <f>IF('O6'!$B$17="","",'O6'!$B$17)</f>
        <v/>
      </c>
      <c r="D75" s="9">
        <f>IF(B75="","",'O6'!$G$17)</f>
        <v>0</v>
      </c>
      <c r="E75" t="str">
        <f>IF(C75="","",'O6'!$D$17)</f>
        <v/>
      </c>
      <c r="F75" s="9">
        <f t="shared" si="17"/>
        <v>0</v>
      </c>
      <c r="G75" s="63" t="str">
        <f>IF(C75="","",HLOOKUP($B$2,'KPI6'!$E$11:$R$41,17,FALSE))</f>
        <v/>
      </c>
      <c r="H75" s="63" t="str">
        <f>IF(C75="","",HLOOKUP($B$2,'KPI6'!$E$11:$R$41,18,FALSE))</f>
        <v/>
      </c>
      <c r="I75" s="21" t="str">
        <f>IF(C75="","",HLOOKUP($B$2,'KPI6'!$E$11:$R$41,19,FALSE))</f>
        <v/>
      </c>
      <c r="J75" s="9">
        <f t="shared" si="7"/>
        <v>0</v>
      </c>
      <c r="K75" s="22">
        <f t="shared" si="5"/>
        <v>0</v>
      </c>
    </row>
    <row r="76" spans="2:11">
      <c r="B76" s="23" t="str">
        <f t="shared" si="18"/>
        <v>Meta 6</v>
      </c>
      <c r="C76" t="str">
        <f>IF('O6'!$B$18="","",'O6'!$B$18)</f>
        <v/>
      </c>
      <c r="D76" s="9">
        <f>IF(B76="","",'O6'!$G$18)</f>
        <v>0</v>
      </c>
      <c r="E76" t="str">
        <f>IF(C76="","",'O6'!$D$18)</f>
        <v/>
      </c>
      <c r="F76" s="9">
        <f t="shared" si="17"/>
        <v>0</v>
      </c>
      <c r="G76" s="63" t="str">
        <f>IF(C76="","",HLOOKUP($B$2,'KPI6'!$E$11:$R$41,20,FALSE))</f>
        <v/>
      </c>
      <c r="H76" s="63" t="str">
        <f>IF(C76="","",HLOOKUP($B$2,'KPI6'!$E$11:$R$41,21,FALSE))</f>
        <v/>
      </c>
      <c r="I76" s="21" t="str">
        <f>IF(C76="","",HLOOKUP($B$2,'KPI6'!$E$11:$R$41,22,FALSE))</f>
        <v/>
      </c>
      <c r="J76" s="9">
        <f t="shared" si="7"/>
        <v>0</v>
      </c>
      <c r="K76" s="22">
        <f t="shared" si="5"/>
        <v>0</v>
      </c>
    </row>
    <row r="77" spans="2:11">
      <c r="B77" s="23" t="str">
        <f t="shared" si="18"/>
        <v>Meta 6</v>
      </c>
      <c r="C77" t="str">
        <f>IF('O6'!$B$19="","",'O6'!$B$19)</f>
        <v/>
      </c>
      <c r="D77" s="9">
        <f>IF(B77="","",'O6'!$G$19)</f>
        <v>0</v>
      </c>
      <c r="E77" t="str">
        <f>IF(C77="","",'O6'!$D$19)</f>
        <v/>
      </c>
      <c r="F77" s="9">
        <f t="shared" si="17"/>
        <v>0</v>
      </c>
      <c r="G77" s="63" t="str">
        <f>IF(C77="","",HLOOKUP($B$2,'KPI6'!$E$11:$R$41,23,FALSE))</f>
        <v/>
      </c>
      <c r="H77" s="63" t="str">
        <f>IF(C77="","",HLOOKUP($B$2,'KPI6'!$E$11:$R$41,24,FALSE))</f>
        <v/>
      </c>
      <c r="I77" s="21" t="str">
        <f>IF(C77="","",HLOOKUP($B$2,'KPI6'!$E$11:$R$41,25,FALSE))</f>
        <v/>
      </c>
      <c r="J77" s="9">
        <f t="shared" si="7"/>
        <v>0</v>
      </c>
      <c r="K77" s="22">
        <f t="shared" si="5"/>
        <v>0</v>
      </c>
    </row>
    <row r="78" spans="2:11">
      <c r="B78" s="23" t="str">
        <f t="shared" si="18"/>
        <v>Meta 6</v>
      </c>
      <c r="C78" t="str">
        <f>IF('O6'!$B$20="","",'O6'!$B$20)</f>
        <v/>
      </c>
      <c r="D78" s="9">
        <f>IF(B78="","",'O6'!$G$20)</f>
        <v>0</v>
      </c>
      <c r="E78" t="str">
        <f>IF(C78="","",'O6'!$D$20)</f>
        <v/>
      </c>
      <c r="F78" s="9">
        <f t="shared" si="17"/>
        <v>0</v>
      </c>
      <c r="G78" s="63" t="str">
        <f>IF(C78="","",HLOOKUP($B$2,'KPI6'!$E$11:$R$41,26,FALSE))</f>
        <v/>
      </c>
      <c r="H78" s="63" t="str">
        <f>IF(C78="","",HLOOKUP($B$2,'KPI6'!$E$11:$R$41,27,FALSE))</f>
        <v/>
      </c>
      <c r="I78" s="21" t="str">
        <f>IF(C78="","",HLOOKUP($B$2,'KPI6'!$E$11:$R$41,28,FALSE))</f>
        <v/>
      </c>
      <c r="J78" s="9">
        <f t="shared" si="7"/>
        <v>0</v>
      </c>
      <c r="K78" s="22">
        <f t="shared" si="5"/>
        <v>0</v>
      </c>
    </row>
    <row r="79" spans="2:11">
      <c r="B79" s="23" t="str">
        <f t="shared" si="18"/>
        <v>Meta 6</v>
      </c>
      <c r="C79" s="14" t="str">
        <f>IF('O6'!$B$21="","",'O6'!$B$21)</f>
        <v/>
      </c>
      <c r="D79" s="13">
        <f>IF(B79="","",'O6'!$G$21)</f>
        <v>0</v>
      </c>
      <c r="E79" s="14" t="str">
        <f>IF(C79="","",'O6'!$D$21)</f>
        <v/>
      </c>
      <c r="F79" s="13">
        <f t="shared" si="17"/>
        <v>0</v>
      </c>
      <c r="G79" s="65" t="str">
        <f>IF(C79="","",HLOOKUP($B$2,'KPI6'!$E$11:$R$41,29,FALSE))</f>
        <v/>
      </c>
      <c r="H79" s="65" t="str">
        <f>IF(C79="","",HLOOKUP($B$2,'KPI6'!$E$11:$R$41,30,FALSE))</f>
        <v/>
      </c>
      <c r="I79" s="15" t="str">
        <f>IF(C79="","",HLOOKUP($B$2,'KPI6'!$E$11:$R$41,31,FALSE))</f>
        <v/>
      </c>
      <c r="J79" s="13">
        <f t="shared" si="7"/>
        <v>0</v>
      </c>
      <c r="K79" s="25">
        <f t="shared" si="5"/>
        <v>0</v>
      </c>
    </row>
    <row r="80" spans="2:11">
      <c r="B80" s="624" t="s">
        <v>109</v>
      </c>
      <c r="C80" s="625"/>
      <c r="D80" s="625"/>
      <c r="E80" s="625"/>
      <c r="F80" s="32">
        <f>SUM(F20:F79)</f>
        <v>14</v>
      </c>
      <c r="G80" s="61">
        <f>IFERROR(AVERAGEIF(G20:G79,"&lt;&gt;"),0)</f>
        <v>1626.26325</v>
      </c>
      <c r="H80" s="61">
        <f>IFERROR(AVERAGEIF(H20:H79,"&lt;&gt;"),0)</f>
        <v>1171.6966666666665</v>
      </c>
      <c r="I80" s="39">
        <f>IFERROR(AVERAGEIF(I20:I79,"&lt;&gt;"),0)</f>
        <v>1.0614782827007025</v>
      </c>
      <c r="J80" s="32">
        <f>SUM(J20:J79)</f>
        <v>7</v>
      </c>
      <c r="K80" s="40">
        <f>SUM(K20:K79)</f>
        <v>3</v>
      </c>
    </row>
    <row r="83" spans="2:6">
      <c r="C83" s="66"/>
    </row>
    <row r="84" spans="2:6">
      <c r="C84" s="85" t="str">
        <f>Lan!F105</f>
        <v>Alcanzado</v>
      </c>
      <c r="D84" s="9" t="str">
        <f>Lan!F106</f>
        <v>En peligro</v>
      </c>
    </row>
    <row r="85" spans="2:6" s="1" customFormat="1" ht="18.5" customHeight="1">
      <c r="B85" s="1" t="str">
        <f>IF(SA!C18="","",SA!C18)</f>
        <v/>
      </c>
      <c r="C85" s="10">
        <f t="shared" ref="C85:C92" si="19">SUMIFS($J$20:$J$79,$E$20:$E$79,B85)</f>
        <v>0</v>
      </c>
      <c r="D85" s="10">
        <f t="shared" ref="D85:D92" si="20">SUMIFS($K$20:$K$79,$E$20:$E$79,B85)</f>
        <v>0</v>
      </c>
    </row>
    <row r="86" spans="2:6" s="1" customFormat="1" ht="18.5" customHeight="1">
      <c r="B86" s="1" t="str">
        <f>IF(SA!C17="","",SA!C17)</f>
        <v/>
      </c>
      <c r="C86" s="10">
        <f t="shared" si="19"/>
        <v>0</v>
      </c>
      <c r="D86" s="10">
        <f t="shared" si="20"/>
        <v>0</v>
      </c>
      <c r="E86" s="67"/>
      <c r="F86" s="67"/>
    </row>
    <row r="87" spans="2:6" s="1" customFormat="1" ht="18.5" customHeight="1">
      <c r="B87" s="1" t="str">
        <f>IF(SA!C16="","",SA!C16)</f>
        <v>Tecnología / Sistemas / Innovación</v>
      </c>
      <c r="C87" s="10">
        <f t="shared" si="19"/>
        <v>1</v>
      </c>
      <c r="D87" s="10">
        <f t="shared" si="20"/>
        <v>0</v>
      </c>
      <c r="E87" s="67"/>
      <c r="F87" s="67"/>
    </row>
    <row r="88" spans="2:6" s="1" customFormat="1" ht="18.5" customHeight="1">
      <c r="B88" s="1" t="str">
        <f>IF(SA!C15="","",SA!C15)</f>
        <v>Recursos Humanos</v>
      </c>
      <c r="C88" s="10">
        <f t="shared" si="19"/>
        <v>2</v>
      </c>
      <c r="D88" s="10">
        <f t="shared" si="20"/>
        <v>0</v>
      </c>
      <c r="E88" s="67"/>
      <c r="F88" s="67"/>
    </row>
    <row r="89" spans="2:6" s="1" customFormat="1" ht="18.5" customHeight="1">
      <c r="B89" s="1" t="str">
        <f>IF(SA!C14="","",SA!C14)</f>
        <v>Comercialización (Marketing y Ventas)</v>
      </c>
      <c r="C89" s="10">
        <f t="shared" si="19"/>
        <v>2</v>
      </c>
      <c r="D89" s="10">
        <f t="shared" si="20"/>
        <v>1</v>
      </c>
      <c r="E89" s="67"/>
      <c r="F89" s="67"/>
    </row>
    <row r="90" spans="2:6" s="1" customFormat="1" ht="18.5" customHeight="1">
      <c r="B90" s="1" t="str">
        <f>IF(SA!C13="","",SA!C13)</f>
        <v>Operaciones / Producción</v>
      </c>
      <c r="C90" s="10">
        <f t="shared" si="19"/>
        <v>0</v>
      </c>
      <c r="D90" s="10">
        <f t="shared" si="20"/>
        <v>2</v>
      </c>
      <c r="E90" s="67"/>
      <c r="F90" s="67"/>
    </row>
    <row r="91" spans="2:6" s="1" customFormat="1" ht="18.5" customHeight="1">
      <c r="B91" s="1" t="str">
        <f>IF(SA!C12="","",SA!C12)</f>
        <v>Administración</v>
      </c>
      <c r="C91" s="10">
        <f t="shared" si="19"/>
        <v>1</v>
      </c>
      <c r="D91" s="10">
        <f t="shared" si="20"/>
        <v>0</v>
      </c>
      <c r="E91" s="67"/>
      <c r="F91" s="67"/>
    </row>
    <row r="92" spans="2:6" s="1" customFormat="1" ht="18.5" customHeight="1">
      <c r="B92" s="1" t="str">
        <f>IF(SA!C11="","",SA!C11)</f>
        <v>Dirección/Gerencia General (Alta Dirección)</v>
      </c>
      <c r="C92" s="10">
        <f t="shared" si="19"/>
        <v>1</v>
      </c>
      <c r="D92" s="10">
        <f t="shared" si="20"/>
        <v>0</v>
      </c>
    </row>
    <row r="93" spans="2:6" ht="18.5" customHeight="1">
      <c r="C93" s="9"/>
      <c r="D93" s="9"/>
    </row>
    <row r="94" spans="2:6" ht="20" customHeight="1">
      <c r="B94" s="1" t="str">
        <f>IF(Goals!C17="","",Goals!C17)</f>
        <v>Desarrollar y fidelizar al talento humano de la empresa.</v>
      </c>
      <c r="C94" s="10">
        <f>D16</f>
        <v>2</v>
      </c>
      <c r="D94" s="10">
        <f>E16</f>
        <v>0</v>
      </c>
    </row>
    <row r="95" spans="2:6" ht="20" customHeight="1">
      <c r="B95" s="1" t="str">
        <f>IF(Goals!C16="","",Goals!C16)</f>
        <v>Incrementar las ventas a través de plataformas digitales.</v>
      </c>
      <c r="C95" s="10">
        <f>D15</f>
        <v>1</v>
      </c>
      <c r="D95" s="10">
        <f>E15</f>
        <v>1</v>
      </c>
    </row>
    <row r="96" spans="2:6" ht="20" customHeight="1">
      <c r="B96" s="1" t="str">
        <f>IF(Goals!C15="","",Goals!C15)</f>
        <v>Asegurar la calidad e inocuidad de los productos en todos los procesos de la planta.</v>
      </c>
      <c r="C96" s="10">
        <f>D14</f>
        <v>1</v>
      </c>
      <c r="D96" s="10">
        <f>E14</f>
        <v>1</v>
      </c>
    </row>
    <row r="97" spans="2:4" ht="20" customHeight="1">
      <c r="B97" s="1" t="str">
        <f>IF(Goals!C14="","",Goals!C14)</f>
        <v>Fortalecer el posicionamiento de la marca Caracolitos a nivel nacional.</v>
      </c>
      <c r="C97" s="10">
        <f>D13</f>
        <v>2</v>
      </c>
      <c r="D97" s="10">
        <f>E13</f>
        <v>0</v>
      </c>
    </row>
    <row r="98" spans="2:4" ht="20" customHeight="1">
      <c r="B98" s="1" t="str">
        <f>IF(Goals!C13="","",Goals!C13)</f>
        <v>Mejorar la productividad de los procesos operativos en planta.</v>
      </c>
      <c r="C98" s="10">
        <f>D12</f>
        <v>0</v>
      </c>
      <c r="D98" s="10">
        <f>E12</f>
        <v>1</v>
      </c>
    </row>
    <row r="99" spans="2:4" ht="20" customHeight="1">
      <c r="B99" s="1" t="str">
        <f>IF(Goals!C12="","",Goals!C12)</f>
        <v>Expandir la presencia nacional de Caracolitos mediante la apertura de nuevas sucursales.</v>
      </c>
      <c r="C99" s="10">
        <f>D11</f>
        <v>1</v>
      </c>
      <c r="D99" s="10">
        <f>E11</f>
        <v>0</v>
      </c>
    </row>
    <row r="100" spans="2:4" ht="20" customHeight="1"/>
  </sheetData>
  <mergeCells count="1">
    <mergeCell ref="B80:E80"/>
  </mergeCells>
  <conditionalFormatting sqref="E86">
    <cfRule type="expression" dxfId="39" priority="903">
      <formula>$C91&gt;=$D$2</formula>
    </cfRule>
    <cfRule type="expression" dxfId="38" priority="902">
      <formula>$C91&lt;$D$2</formula>
    </cfRule>
  </conditionalFormatting>
  <conditionalFormatting sqref="E87">
    <cfRule type="expression" dxfId="37" priority="908">
      <formula>$C90&gt;=$D$2</formula>
    </cfRule>
    <cfRule type="expression" dxfId="36" priority="907">
      <formula>$C90&lt;$D$2</formula>
    </cfRule>
  </conditionalFormatting>
  <conditionalFormatting sqref="E88">
    <cfRule type="expression" dxfId="35" priority="913">
      <formula>$C89&gt;=$D$2</formula>
    </cfRule>
    <cfRule type="expression" dxfId="34" priority="912">
      <formula>$C89&lt;$D$2</formula>
    </cfRule>
  </conditionalFormatting>
  <conditionalFormatting sqref="E89">
    <cfRule type="expression" dxfId="33" priority="917">
      <formula>$C88&lt;$D$2</formula>
    </cfRule>
    <cfRule type="expression" dxfId="32" priority="918">
      <formula>$C88&gt;=$D$2</formula>
    </cfRule>
  </conditionalFormatting>
  <conditionalFormatting sqref="E90">
    <cfRule type="expression" dxfId="31" priority="922">
      <formula>$C87&lt;$D$2</formula>
    </cfRule>
    <cfRule type="expression" dxfId="30" priority="923">
      <formula>$C87&gt;=$D$2</formula>
    </cfRule>
  </conditionalFormatting>
  <conditionalFormatting sqref="E91">
    <cfRule type="expression" dxfId="29" priority="927">
      <formula>$C86&lt;$D$2</formula>
    </cfRule>
    <cfRule type="expression" dxfId="28" priority="928">
      <formula>$C86&gt;=$D$2</formula>
    </cfRule>
  </conditionalFormatting>
  <conditionalFormatting sqref="F86">
    <cfRule type="expression" dxfId="27" priority="906">
      <formula>$D91&lt;=$D$2</formula>
    </cfRule>
    <cfRule type="expression" dxfId="26" priority="905">
      <formula>$D91&gt;$D$2</formula>
    </cfRule>
    <cfRule type="expression" dxfId="25" priority="904">
      <formula>$D91=0</formula>
    </cfRule>
  </conditionalFormatting>
  <conditionalFormatting sqref="F87">
    <cfRule type="expression" dxfId="24" priority="909">
      <formula>$D90=0</formula>
    </cfRule>
    <cfRule type="expression" dxfId="23" priority="910">
      <formula>$D90&gt;$D$2</formula>
    </cfRule>
    <cfRule type="expression" dxfId="22" priority="911">
      <formula>$D90&lt;=$D$2</formula>
    </cfRule>
  </conditionalFormatting>
  <conditionalFormatting sqref="F88">
    <cfRule type="expression" dxfId="21" priority="914">
      <formula>$D89=0</formula>
    </cfRule>
    <cfRule type="expression" dxfId="20" priority="915">
      <formula>$D89&gt;$D$2</formula>
    </cfRule>
    <cfRule type="expression" dxfId="19" priority="916">
      <formula>$D89&lt;=$D$2</formula>
    </cfRule>
  </conditionalFormatting>
  <conditionalFormatting sqref="F89">
    <cfRule type="expression" dxfId="18" priority="919">
      <formula>$D88=0</formula>
    </cfRule>
    <cfRule type="expression" dxfId="17" priority="920">
      <formula>$D88&gt;$D$2</formula>
    </cfRule>
    <cfRule type="expression" dxfId="16" priority="921">
      <formula>$D88&lt;=$D$2</formula>
    </cfRule>
  </conditionalFormatting>
  <conditionalFormatting sqref="F90">
    <cfRule type="expression" dxfId="15" priority="924">
      <formula>$D87=0</formula>
    </cfRule>
    <cfRule type="expression" dxfId="14" priority="925">
      <formula>$D87&gt;$D$2</formula>
    </cfRule>
    <cfRule type="expression" dxfId="13" priority="926">
      <formula>$D87&lt;=$D$2</formula>
    </cfRule>
  </conditionalFormatting>
  <conditionalFormatting sqref="F91">
    <cfRule type="expression" dxfId="12" priority="929">
      <formula>$D86=0</formula>
    </cfRule>
    <cfRule type="expression" dxfId="11" priority="930">
      <formula>$D86&gt;$D$2</formula>
    </cfRule>
    <cfRule type="expression" dxfId="10" priority="931">
      <formula>$D86&lt;=$D$2</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B4AB8-F20F-4789-9178-8CB1FD7A3108}">
  <dimension ref="B2:K97"/>
  <sheetViews>
    <sheetView showGridLines="0" workbookViewId="0">
      <selection activeCell="M4" sqref="M4"/>
    </sheetView>
  </sheetViews>
  <sheetFormatPr baseColWidth="10" defaultColWidth="11.5" defaultRowHeight="15"/>
  <cols>
    <col min="1" max="1" width="2.1640625" customWidth="1"/>
    <col min="2" max="2" width="32.33203125" bestFit="1" customWidth="1"/>
    <col min="3" max="3" width="33.33203125" bestFit="1" customWidth="1"/>
    <col min="4" max="5" width="18.33203125" bestFit="1" customWidth="1"/>
    <col min="6" max="6" width="14.5" bestFit="1" customWidth="1"/>
    <col min="7" max="7" width="18" customWidth="1"/>
    <col min="8" max="9" width="18.33203125" bestFit="1" customWidth="1"/>
    <col min="10" max="10" width="13.1640625" bestFit="1" customWidth="1"/>
  </cols>
  <sheetData>
    <row r="2" spans="2:10">
      <c r="B2" t="str">
        <f>SGoal!P7</f>
        <v>TOTAL</v>
      </c>
      <c r="D2" s="60">
        <f>Settings!E22</f>
        <v>0.9</v>
      </c>
    </row>
    <row r="4" spans="2:10">
      <c r="B4" s="47" t="s">
        <v>107</v>
      </c>
      <c r="C4" s="49" t="s">
        <v>108</v>
      </c>
      <c r="D4" s="50" t="s">
        <v>117</v>
      </c>
    </row>
    <row r="5" spans="2:10">
      <c r="B5" s="19">
        <f>VLOOKUP(Settings!C11,Data!A2:C13,3,FALSE)</f>
        <v>46203</v>
      </c>
      <c r="C5" s="20">
        <f ca="1">TODAY()</f>
        <v>45850</v>
      </c>
      <c r="D5" s="25">
        <f ca="1">_xlfn.DAYS(B5,C5)</f>
        <v>353</v>
      </c>
    </row>
    <row r="7" spans="2:10">
      <c r="B7" s="47" t="s">
        <v>110</v>
      </c>
      <c r="C7" s="48" t="s">
        <v>111</v>
      </c>
      <c r="D7" s="43" t="s">
        <v>112</v>
      </c>
    </row>
    <row r="8" spans="2:10">
      <c r="B8" s="46">
        <f>C17</f>
        <v>6</v>
      </c>
      <c r="C8" s="44">
        <f>COUNTIF(F11:F16,"&gt;="&amp;D2)</f>
        <v>3</v>
      </c>
      <c r="D8" s="45">
        <f>COUNTIF(F11:F16,"&lt;"&amp;D2)</f>
        <v>3</v>
      </c>
    </row>
    <row r="10" spans="2:10">
      <c r="B10" s="31" t="str">
        <f>Goals!B11</f>
        <v>ID</v>
      </c>
      <c r="C10" s="32" t="s">
        <v>114</v>
      </c>
      <c r="D10" s="38" t="s">
        <v>103</v>
      </c>
      <c r="E10" s="31" t="s">
        <v>104</v>
      </c>
      <c r="F10" s="30" t="s">
        <v>125</v>
      </c>
      <c r="G10" s="71" t="s">
        <v>121</v>
      </c>
      <c r="H10" s="30" t="s">
        <v>122</v>
      </c>
      <c r="I10" s="71" t="s">
        <v>121</v>
      </c>
      <c r="J10" s="30" t="s">
        <v>181</v>
      </c>
    </row>
    <row r="11" spans="2:10">
      <c r="B11" s="26" t="str">
        <f>IF(Goals!B12="","",Goals!B12)</f>
        <v>Meta 1</v>
      </c>
      <c r="C11" s="9">
        <f>IF(Goals!C12="","",1)</f>
        <v>1</v>
      </c>
      <c r="D11" s="28">
        <f t="shared" ref="D11:D16" si="0">SUMIF($B$20:$B$79,B11,$J$20:$J$79)</f>
        <v>1</v>
      </c>
      <c r="E11" s="28">
        <f t="shared" ref="E11:E16" si="1">SUMIF($B$20:$B$79,B11,$K$20:$K$79)</f>
        <v>0</v>
      </c>
      <c r="F11" s="41">
        <f>AVERAGEIF(I11:J11,"&lt;&gt;0")</f>
        <v>1.1042345276872965</v>
      </c>
      <c r="G11" s="70">
        <f>IFERROR(AVERAGEIF(D20:D29,"=↑",I20:I29),0)</f>
        <v>1.1042345276872965</v>
      </c>
      <c r="H11" s="73">
        <f>IFERROR(AVERAGEIF(D20:D29,"=↓",I20:I29),0)</f>
        <v>0</v>
      </c>
      <c r="I11" s="70">
        <f>G11</f>
        <v>1.1042345276872965</v>
      </c>
      <c r="J11" s="87">
        <f>IF(H11=0,0,$D$2+1-H11)</f>
        <v>0</v>
      </c>
    </row>
    <row r="12" spans="2:10">
      <c r="B12" s="27" t="str">
        <f>IF(Goals!B13="","",Goals!B13)</f>
        <v>Meta 2</v>
      </c>
      <c r="C12" s="9">
        <f>IF(Goals!C13="","",1)</f>
        <v>1</v>
      </c>
      <c r="D12" s="29">
        <f t="shared" si="0"/>
        <v>0</v>
      </c>
      <c r="E12" s="29">
        <f t="shared" si="1"/>
        <v>1</v>
      </c>
      <c r="F12" s="41">
        <f t="shared" ref="F12:F17" si="2">AVERAGEIF(I12:J12,"&lt;&gt;0")</f>
        <v>0.60000000000000009</v>
      </c>
      <c r="G12" s="70">
        <f>IFERROR(AVERAGEIF(D30:D39,"=↑",I30:I39),0)</f>
        <v>0</v>
      </c>
      <c r="H12" s="73">
        <f>IFERROR(AVERAGEIF(D30:D39,"=↓",I30:I39),0)</f>
        <v>1.2999999999999998</v>
      </c>
      <c r="I12" s="70">
        <f t="shared" ref="I12:I16" si="3">G12</f>
        <v>0</v>
      </c>
      <c r="J12" s="87">
        <f t="shared" ref="J12:J16" si="4">IF(H12=0,0,$D$2+1-H12)</f>
        <v>0.60000000000000009</v>
      </c>
    </row>
    <row r="13" spans="2:10">
      <c r="B13" s="27" t="str">
        <f>IF(Goals!B14="","",Goals!B14)</f>
        <v>Meta 3</v>
      </c>
      <c r="C13" s="9">
        <f>IF(Goals!C14="","",1)</f>
        <v>1</v>
      </c>
      <c r="D13" s="29">
        <f t="shared" si="0"/>
        <v>2</v>
      </c>
      <c r="E13" s="29">
        <f t="shared" si="1"/>
        <v>0</v>
      </c>
      <c r="F13" s="41">
        <f t="shared" si="2"/>
        <v>1.2157333333333333</v>
      </c>
      <c r="G13" s="70">
        <f>IFERROR(AVERAGEIF(D40:D49,"=↑",I40:I49),0)</f>
        <v>1.2157333333333333</v>
      </c>
      <c r="H13" s="73">
        <f>IFERROR(AVERAGEIF(D40:D49,"=↓",I40:I49),0)</f>
        <v>0</v>
      </c>
      <c r="I13" s="70">
        <f t="shared" si="3"/>
        <v>1.2157333333333333</v>
      </c>
      <c r="J13" s="87">
        <f t="shared" si="4"/>
        <v>0</v>
      </c>
    </row>
    <row r="14" spans="2:10">
      <c r="B14" s="27" t="str">
        <f>IF(Goals!B15="","",Goals!B15)</f>
        <v>Meta 4</v>
      </c>
      <c r="C14" s="9">
        <f>IF(Goals!C15="","",1)</f>
        <v>1</v>
      </c>
      <c r="D14" s="29">
        <f t="shared" si="0"/>
        <v>1</v>
      </c>
      <c r="E14" s="29">
        <f t="shared" si="1"/>
        <v>1</v>
      </c>
      <c r="F14" s="41">
        <f t="shared" si="2"/>
        <v>0.78333333333333321</v>
      </c>
      <c r="G14" s="70">
        <f>IFERROR(AVERAGEIF(D50:D59,"=↑",I50:I59),0)</f>
        <v>0.91666666666666663</v>
      </c>
      <c r="H14" s="73">
        <f>IFERROR(AVERAGEIF(D50:D59,"=↓",I50:I59),0)</f>
        <v>1.25</v>
      </c>
      <c r="I14" s="70">
        <f t="shared" si="3"/>
        <v>0.91666666666666663</v>
      </c>
      <c r="J14" s="87">
        <f t="shared" si="4"/>
        <v>0.64999999999999991</v>
      </c>
    </row>
    <row r="15" spans="2:10">
      <c r="B15" s="27" t="str">
        <f>IF(Goals!B16="","",Goals!B16)</f>
        <v>Meta 5</v>
      </c>
      <c r="C15" s="9">
        <f>IF(Goals!C16="","",1)</f>
        <v>1</v>
      </c>
      <c r="D15" s="29">
        <f t="shared" si="0"/>
        <v>1</v>
      </c>
      <c r="E15" s="29">
        <f t="shared" si="1"/>
        <v>1</v>
      </c>
      <c r="F15" s="41">
        <f t="shared" si="2"/>
        <v>0.83768896447467867</v>
      </c>
      <c r="G15" s="70">
        <f>IFERROR(AVERAGEIF(D60:D69,"=↑",I60:I69),0)</f>
        <v>0.83768896447467867</v>
      </c>
      <c r="H15" s="73">
        <f>IFERROR(AVERAGEIF(D60:D69,"=↓",I60:I69),0)</f>
        <v>0</v>
      </c>
      <c r="I15" s="70">
        <f t="shared" si="3"/>
        <v>0.83768896447467867</v>
      </c>
      <c r="J15" s="87">
        <f t="shared" si="4"/>
        <v>0</v>
      </c>
    </row>
    <row r="16" spans="2:10">
      <c r="B16" s="27" t="str">
        <f>IF(Goals!B17="","",Goals!B17)</f>
        <v>Meta 6</v>
      </c>
      <c r="C16" s="9">
        <f>IF(Goals!C17="","",1)</f>
        <v>1</v>
      </c>
      <c r="D16" s="29">
        <f t="shared" si="0"/>
        <v>2</v>
      </c>
      <c r="E16" s="29">
        <f t="shared" si="1"/>
        <v>0</v>
      </c>
      <c r="F16" s="41">
        <f t="shared" si="2"/>
        <v>0.96851851851851833</v>
      </c>
      <c r="G16" s="70">
        <f>IFERROR(AVERAGEIF(D70:D79,"=↑",I70:I79),0)</f>
        <v>0.96851851851851833</v>
      </c>
      <c r="H16" s="73">
        <f>IFERROR(AVERAGEIF(D70:D79,"=↓",I70:I79),0)</f>
        <v>0</v>
      </c>
      <c r="I16" s="70">
        <f t="shared" si="3"/>
        <v>0.96851851851851833</v>
      </c>
      <c r="J16" s="87">
        <f t="shared" si="4"/>
        <v>0</v>
      </c>
    </row>
    <row r="17" spans="2:11">
      <c r="B17" s="37" t="s">
        <v>109</v>
      </c>
      <c r="C17" s="38">
        <f>SUM(C11:C16)</f>
        <v>6</v>
      </c>
      <c r="D17" s="38">
        <f>SUM(D11:D16)</f>
        <v>7</v>
      </c>
      <c r="E17" s="38">
        <f>SUM(E11:E16)</f>
        <v>3</v>
      </c>
      <c r="F17" s="42">
        <f t="shared" si="2"/>
        <v>0.86654892668793904</v>
      </c>
      <c r="G17" s="72">
        <f>IFERROR(AVERAGEIFS(I20:I79,D20:D79,"↑",I20:I79,"&lt;&gt;0"),0)</f>
        <v>1.008097853375878</v>
      </c>
      <c r="H17" s="74">
        <f>IFERROR(AVERAGEIFS(I20:I79,D20:D79,"↓",I20:I79,"&lt;&gt;0"),0)</f>
        <v>1.2749999999999999</v>
      </c>
      <c r="I17" s="72">
        <f>G17</f>
        <v>1.008097853375878</v>
      </c>
      <c r="J17" s="88">
        <f>IF(H17=0,0,1+1-H17)</f>
        <v>0.72500000000000009</v>
      </c>
    </row>
    <row r="19" spans="2:11">
      <c r="B19" s="33" t="str">
        <f>'O2'!D11</f>
        <v>Áreas estratégicas</v>
      </c>
      <c r="C19" s="34" t="str">
        <f>'O2'!B11</f>
        <v>Objetivos</v>
      </c>
      <c r="D19" s="35" t="str">
        <f>Lan!F48</f>
        <v>Mejor dirección</v>
      </c>
      <c r="E19" s="34" t="str">
        <f>SA!C10</f>
        <v>Áreas estratégicas</v>
      </c>
      <c r="F19" s="35" t="s">
        <v>113</v>
      </c>
      <c r="G19" s="32" t="str">
        <f>'KPI1'!D12</f>
        <v>Actual</v>
      </c>
      <c r="H19" s="32" t="str">
        <f>'KPI1'!D13</f>
        <v>Meta</v>
      </c>
      <c r="I19" s="32" t="str">
        <f>B2</f>
        <v>TOTAL</v>
      </c>
      <c r="J19" s="32" t="s">
        <v>103</v>
      </c>
      <c r="K19" s="36" t="s">
        <v>104</v>
      </c>
    </row>
    <row r="20" spans="2:11">
      <c r="B20" s="18" t="str">
        <f>'O1'!B10</f>
        <v>Meta 1</v>
      </c>
      <c r="C20" s="12" t="str">
        <f>IF('O1'!$B$12="","",'O1'!$B$12)</f>
        <v>Abrir 2 nuevas sucursales en ciudades turísticas del país antes de julio de 2026.</v>
      </c>
      <c r="D20" s="9" t="str">
        <f>IF(B20="","",'O1'!$G$12)</f>
        <v>↑</v>
      </c>
      <c r="E20" s="12" t="str">
        <f>IF(C20="","",'O1'!$D$12)</f>
        <v>Dirección/Gerencia General (Alta Dirección)</v>
      </c>
      <c r="F20" s="9">
        <f>IF(C20="",0,1)</f>
        <v>1</v>
      </c>
      <c r="G20" s="62">
        <f>IF(C20="","",HLOOKUP($B$2,'KPI1'!$E$11:$R$41,2,FALSE))</f>
        <v>678</v>
      </c>
      <c r="H20" s="62">
        <f>IF(C20="","",HLOOKUP($B$2,'KPI1'!$E$11:$R$41,3,FALSE))</f>
        <v>614</v>
      </c>
      <c r="I20" s="21">
        <f>IF(C20="","",HLOOKUP($B$2,'KPI1'!$E$11:$R$41,4,FALSE))</f>
        <v>1.1042345276872965</v>
      </c>
      <c r="J20" s="9">
        <f>IF(I20="",0,IF(AND(I20&gt;=$D$2,D20="↑"),1,IF(AND(I20&lt;$D$2,D20="↓"),1,0)))</f>
        <v>1</v>
      </c>
      <c r="K20" s="22">
        <f t="shared" ref="K20:K51" si="5">IF(AND(I20&gt;=$D$2,D20="↓"),1,IF(AND(I20&lt;$D$2,D20="↑"),1,0))</f>
        <v>0</v>
      </c>
    </row>
    <row r="21" spans="2:11">
      <c r="B21" s="23" t="str">
        <f>B$20</f>
        <v>Meta 1</v>
      </c>
      <c r="C21" t="str">
        <f>IF('O1'!$B$13="","",'O1'!$B$13)</f>
        <v/>
      </c>
      <c r="D21" s="9">
        <f>IF(B21="","",'O1'!$G$13)</f>
        <v>0</v>
      </c>
      <c r="E21" t="str">
        <f>IF(C21="","",'O1'!$D$13)</f>
        <v/>
      </c>
      <c r="F21" s="9">
        <f t="shared" ref="F21:F28" si="6">IF(C21="",0,1)</f>
        <v>0</v>
      </c>
      <c r="G21" s="63" t="str">
        <f>IF(C21="","",HLOOKUP($B$2,'KPI1'!$E$11:$R$41,5,FALSE))</f>
        <v/>
      </c>
      <c r="H21" s="63" t="str">
        <f>IF(C21="","",HLOOKUP($B$2,'KPI1'!$E$11:$R$41,6,FALSE))</f>
        <v/>
      </c>
      <c r="I21" s="21" t="str">
        <f>IF(C21="","",HLOOKUP($B$2,'KPI1'!$E$11:$R$41,7,FALSE))</f>
        <v/>
      </c>
      <c r="J21" s="9">
        <f t="shared" ref="J21:J79" si="7">IF(I21="",0,IF(AND(I21&gt;=$D$2,D21="↑"),1,IF(AND(I21&lt;$D$2,D21="↓"),1,0)))</f>
        <v>0</v>
      </c>
      <c r="K21" s="22">
        <f t="shared" si="5"/>
        <v>0</v>
      </c>
    </row>
    <row r="22" spans="2:11">
      <c r="B22" s="23" t="str">
        <f t="shared" ref="B22:B29" si="8">B$20</f>
        <v>Meta 1</v>
      </c>
      <c r="C22" t="str">
        <f>IF('O1'!$B$14="","",'O1'!$B$14)</f>
        <v/>
      </c>
      <c r="D22" s="9">
        <f>IF(B22="","",'O1'!$G$14)</f>
        <v>0</v>
      </c>
      <c r="E22" t="str">
        <f>IF(C22="","",'O1'!$D$14)</f>
        <v/>
      </c>
      <c r="F22" s="9">
        <f t="shared" si="6"/>
        <v>0</v>
      </c>
      <c r="G22" s="63" t="str">
        <f>IF(C22="","",HLOOKUP($B$2,'KPI1'!$E$11:$R$41,8,FALSE))</f>
        <v/>
      </c>
      <c r="H22" s="63" t="str">
        <f>IF(C22="","",HLOOKUP($B$2,'KPI1'!$E$11:$R$41,9,FALSE))</f>
        <v/>
      </c>
      <c r="I22" s="21" t="str">
        <f>IF(C22="","",HLOOKUP($B$2,'KPI1'!$E$11:$R$41,10,FALSE))</f>
        <v/>
      </c>
      <c r="J22" s="9">
        <f t="shared" si="7"/>
        <v>0</v>
      </c>
      <c r="K22" s="22">
        <f t="shared" si="5"/>
        <v>0</v>
      </c>
    </row>
    <row r="23" spans="2:11">
      <c r="B23" s="23" t="str">
        <f t="shared" si="8"/>
        <v>Meta 1</v>
      </c>
      <c r="C23" t="str">
        <f>IF('O1'!$B$15="","",'O1'!$B$15)</f>
        <v/>
      </c>
      <c r="D23" s="9">
        <f>IF(B23="","",'O1'!$G$15)</f>
        <v>0</v>
      </c>
      <c r="E23" t="str">
        <f>IF(C23="","",'O1'!$D$15)</f>
        <v/>
      </c>
      <c r="F23" s="9">
        <f t="shared" si="6"/>
        <v>0</v>
      </c>
      <c r="G23" s="63" t="str">
        <f>IF(C23="","",HLOOKUP($B$2,'KPI1'!$E$11:$R$41,11,FALSE))</f>
        <v/>
      </c>
      <c r="H23" s="63" t="str">
        <f>IF(C23="","",HLOOKUP($B$2,'KPI1'!$E$11:$R$41,12,FALSE))</f>
        <v/>
      </c>
      <c r="I23" s="21" t="str">
        <f>IF(C23="","",HLOOKUP($B$2,'KPI1'!$E$11:$R$41,13,FALSE))</f>
        <v/>
      </c>
      <c r="J23" s="9">
        <f t="shared" si="7"/>
        <v>0</v>
      </c>
      <c r="K23" s="22">
        <f t="shared" si="5"/>
        <v>0</v>
      </c>
    </row>
    <row r="24" spans="2:11">
      <c r="B24" s="23" t="str">
        <f t="shared" si="8"/>
        <v>Meta 1</v>
      </c>
      <c r="C24" t="str">
        <f>IF('O1'!$B$16="","",'O1'!$B$16)</f>
        <v/>
      </c>
      <c r="D24" s="9">
        <f>IF(B24="","",'O1'!$G$16)</f>
        <v>0</v>
      </c>
      <c r="E24" t="str">
        <f>IF(C24="","",'O1'!$D$16)</f>
        <v/>
      </c>
      <c r="F24" s="9">
        <f t="shared" si="6"/>
        <v>0</v>
      </c>
      <c r="G24" s="63" t="str">
        <f>IF(C24="","",HLOOKUP($B$2,'KPI1'!$E$11:$R$41,14,FALSE))</f>
        <v/>
      </c>
      <c r="H24" s="63" t="str">
        <f>IF(C24="","",HLOOKUP($B$2,'KPI1'!$E$11:$R$41,15,FALSE))</f>
        <v/>
      </c>
      <c r="I24" s="21" t="str">
        <f>IF(C24="","",HLOOKUP($B$2,'KPI1'!$E$11:$R$41,16,FALSE))</f>
        <v/>
      </c>
      <c r="J24" s="9">
        <f t="shared" si="7"/>
        <v>0</v>
      </c>
      <c r="K24" s="22">
        <f t="shared" si="5"/>
        <v>0</v>
      </c>
    </row>
    <row r="25" spans="2:11">
      <c r="B25" s="23" t="str">
        <f t="shared" si="8"/>
        <v>Meta 1</v>
      </c>
      <c r="C25" t="str">
        <f>IF('O1'!$B$17="","",'O1'!$B$17)</f>
        <v/>
      </c>
      <c r="D25" s="9">
        <f>IF(B25="","",'O1'!$G$17)</f>
        <v>0</v>
      </c>
      <c r="E25" t="str">
        <f>IF(C25="","",'O1'!$D$17)</f>
        <v/>
      </c>
      <c r="F25" s="9">
        <f t="shared" si="6"/>
        <v>0</v>
      </c>
      <c r="G25" s="63" t="str">
        <f>IF(C25="","",HLOOKUP($B$2,'KPI1'!$E$11:$R$41,17,FALSE))</f>
        <v/>
      </c>
      <c r="H25" s="63" t="str">
        <f>IF(C25="","",HLOOKUP($B$2,'KPI1'!$E$11:$R$41,18,FALSE))</f>
        <v/>
      </c>
      <c r="I25" s="21" t="str">
        <f>IF(C25="","",HLOOKUP($B$2,'KPI1'!$E$11:$R$41,19,FALSE))</f>
        <v/>
      </c>
      <c r="J25" s="9">
        <f t="shared" si="7"/>
        <v>0</v>
      </c>
      <c r="K25" s="22">
        <f t="shared" si="5"/>
        <v>0</v>
      </c>
    </row>
    <row r="26" spans="2:11">
      <c r="B26" s="23" t="str">
        <f t="shared" si="8"/>
        <v>Meta 1</v>
      </c>
      <c r="C26" t="str">
        <f>IF('O1'!$B$18="","",'O1'!$B$18)</f>
        <v/>
      </c>
      <c r="D26" s="9">
        <f>IF(B26="","",'O1'!$G$18)</f>
        <v>0</v>
      </c>
      <c r="E26" t="str">
        <f>IF(C26="","",'O1'!$D$18)</f>
        <v/>
      </c>
      <c r="F26" s="9">
        <f t="shared" si="6"/>
        <v>0</v>
      </c>
      <c r="G26" s="63" t="str">
        <f>IF(C26="","",HLOOKUP($B$2,'KPI1'!$E$11:$R$41,20,FALSE))</f>
        <v/>
      </c>
      <c r="H26" s="63" t="str">
        <f>IF(C26="","",HLOOKUP($B$2,'KPI1'!$E$11:$R$41,21,FALSE))</f>
        <v/>
      </c>
      <c r="I26" s="21" t="str">
        <f>IF(C26="","",HLOOKUP($B$2,'KPI1'!$E$11:$R$41,22,FALSE))</f>
        <v/>
      </c>
      <c r="J26" s="9">
        <f t="shared" si="7"/>
        <v>0</v>
      </c>
      <c r="K26" s="22">
        <f t="shared" si="5"/>
        <v>0</v>
      </c>
    </row>
    <row r="27" spans="2:11">
      <c r="B27" s="23" t="str">
        <f t="shared" si="8"/>
        <v>Meta 1</v>
      </c>
      <c r="C27" t="str">
        <f>IF('O1'!$B$19="","",'O1'!$B$19)</f>
        <v/>
      </c>
      <c r="D27" s="9">
        <f>IF(B27="","",'O1'!$G$19)</f>
        <v>0</v>
      </c>
      <c r="E27" t="str">
        <f>IF(C27="","",'O1'!$D$19)</f>
        <v/>
      </c>
      <c r="F27" s="9">
        <f t="shared" si="6"/>
        <v>0</v>
      </c>
      <c r="G27" s="63" t="str">
        <f>IF(C27="","",HLOOKUP($B$2,'KPI1'!$E$11:$R$41,23,FALSE))</f>
        <v/>
      </c>
      <c r="H27" s="63" t="str">
        <f>IF(C27="","",HLOOKUP($B$2,'KPI1'!$E$11:$R$41,24,FALSE))</f>
        <v/>
      </c>
      <c r="I27" s="21" t="str">
        <f>IF(C27="","",HLOOKUP($B$2,'KPI1'!$E$11:$R$41,25,FALSE))</f>
        <v/>
      </c>
      <c r="J27" s="9">
        <f t="shared" si="7"/>
        <v>0</v>
      </c>
      <c r="K27" s="22">
        <f t="shared" si="5"/>
        <v>0</v>
      </c>
    </row>
    <row r="28" spans="2:11">
      <c r="B28" s="23" t="str">
        <f t="shared" si="8"/>
        <v>Meta 1</v>
      </c>
      <c r="C28" t="str">
        <f>IF('O1'!$B$20="","",'O1'!$B$20)</f>
        <v/>
      </c>
      <c r="D28" s="9">
        <f>IF(B28="","",'O1'!$G$20)</f>
        <v>0</v>
      </c>
      <c r="E28" t="str">
        <f>IF(C28="","",'O1'!$D$20)</f>
        <v/>
      </c>
      <c r="F28" s="9">
        <f t="shared" si="6"/>
        <v>0</v>
      </c>
      <c r="G28" s="63" t="str">
        <f>IF(C28="","",HLOOKUP($B$2,'KPI1'!$E$11:$R$41,26,FALSE))</f>
        <v/>
      </c>
      <c r="H28" s="63" t="str">
        <f>IF(C28="","",HLOOKUP($B$2,'KPI1'!$E$11:$R$41,27,FALSE))</f>
        <v/>
      </c>
      <c r="I28" s="21" t="str">
        <f>IF(C28="","",HLOOKUP($B$2,'KPI1'!$E$11:$R$41,28,FALSE))</f>
        <v/>
      </c>
      <c r="J28" s="9">
        <f t="shared" si="7"/>
        <v>0</v>
      </c>
      <c r="K28" s="22">
        <f t="shared" si="5"/>
        <v>0</v>
      </c>
    </row>
    <row r="29" spans="2:11">
      <c r="B29" s="23" t="str">
        <f t="shared" si="8"/>
        <v>Meta 1</v>
      </c>
      <c r="C29" s="14" t="str">
        <f>IF('O1'!$B$21="","",'O1'!$B$21)</f>
        <v/>
      </c>
      <c r="D29" s="13" t="str">
        <f>IF(C29="","",'O1'!$G$21)</f>
        <v/>
      </c>
      <c r="E29" s="14" t="str">
        <f>IF(C29="","",'O1'!$D$21)</f>
        <v/>
      </c>
      <c r="F29" s="9">
        <f>IF(C29="",0,1)</f>
        <v>0</v>
      </c>
      <c r="G29" s="63" t="str">
        <f>IF(C29="","",HLOOKUP($B$2,'KPI1'!$E$11:$R$41,29,FALSE))</f>
        <v/>
      </c>
      <c r="H29" s="63" t="str">
        <f>IF(C29="","",HLOOKUP($B$2,'KPI1'!$E$11:$R$41,30,FALSE))</f>
        <v/>
      </c>
      <c r="I29" s="21" t="str">
        <f>IF(C29="","",HLOOKUP($B$2,'KPI1'!$E$11:$R$41,31,FALSE))</f>
        <v/>
      </c>
      <c r="J29" s="9">
        <f t="shared" si="7"/>
        <v>0</v>
      </c>
      <c r="K29" s="25">
        <f t="shared" si="5"/>
        <v>0</v>
      </c>
    </row>
    <row r="30" spans="2:11">
      <c r="B30" s="18" t="str">
        <f>'O2'!C$10</f>
        <v>Meta 2</v>
      </c>
      <c r="C30" s="12" t="str">
        <f>IF('O2'!$B$12="","",'O2'!$B$12)</f>
        <v>Reducir en 15% los tiempos de producción promedio por lote para diciembre 2025.</v>
      </c>
      <c r="D30" s="9" t="str">
        <f>IF(B30="","",'O2'!$G$12)</f>
        <v>↓</v>
      </c>
      <c r="E30" s="12" t="str">
        <f>IF(C30="","",'O2'!$D$12)</f>
        <v>Operaciones / Producción</v>
      </c>
      <c r="F30" s="68">
        <f>IF(C30="",0,1)</f>
        <v>1</v>
      </c>
      <c r="G30" s="64">
        <f>IF(C30="","",HLOOKUP($B$2,'KPI2'!$E$11:$R$41,2,FALSE))</f>
        <v>2.1666666666666665</v>
      </c>
      <c r="H30" s="64">
        <f>IF(C30="","",HLOOKUP($B$2,'KPI2'!$E$11:$R$41,3,FALSE))</f>
        <v>1.6666666666666667</v>
      </c>
      <c r="I30" s="69">
        <f>IF(C30="","",HLOOKUP($B$2,'KPI2'!$E$11:$R$41,4,FALSE))</f>
        <v>1.2999999999999998</v>
      </c>
      <c r="J30" s="68">
        <f t="shared" si="7"/>
        <v>0</v>
      </c>
      <c r="K30" s="22">
        <f t="shared" si="5"/>
        <v>1</v>
      </c>
    </row>
    <row r="31" spans="2:11">
      <c r="B31" s="23" t="str">
        <f>B$30</f>
        <v>Meta 2</v>
      </c>
      <c r="C31" t="str">
        <f>IF('O2'!$B$13="","",'O2'!$B$13)</f>
        <v/>
      </c>
      <c r="D31" s="9">
        <f>IF(B31="","",'O2'!$G$13)</f>
        <v>0</v>
      </c>
      <c r="E31" t="str">
        <f>IF(C31="","",'O2'!$D$13)</f>
        <v/>
      </c>
      <c r="F31" s="9">
        <f t="shared" ref="F31:F39" si="9">IF(C31="",0,1)</f>
        <v>0</v>
      </c>
      <c r="G31" s="63" t="str">
        <f>IF(C31="","",HLOOKUP($B$2,'KPI2'!$E$11:$R$41,5,FALSE))</f>
        <v/>
      </c>
      <c r="H31" s="63" t="str">
        <f>IF(C31="","",HLOOKUP($B$2,'KPI2'!$E$11:$R$41,6,FALSE))</f>
        <v/>
      </c>
      <c r="I31" s="21" t="str">
        <f>IF(C31="","",HLOOKUP($B$2,'KPI2'!$E$11:$R$41,7,FALSE))</f>
        <v/>
      </c>
      <c r="J31" s="9">
        <f t="shared" si="7"/>
        <v>0</v>
      </c>
      <c r="K31" s="22">
        <f t="shared" si="5"/>
        <v>0</v>
      </c>
    </row>
    <row r="32" spans="2:11">
      <c r="B32" s="23" t="str">
        <f t="shared" ref="B32:B39" si="10">B$30</f>
        <v>Meta 2</v>
      </c>
      <c r="C32" t="str">
        <f>IF('O2'!$B$13="","",'O2'!$B$14)</f>
        <v/>
      </c>
      <c r="D32" s="9">
        <f>IF(B32="","",'O2'!$G$14)</f>
        <v>0</v>
      </c>
      <c r="E32" t="str">
        <f>IF(C32="","",'O2'!$D$14)</f>
        <v/>
      </c>
      <c r="F32" s="9">
        <f t="shared" si="9"/>
        <v>0</v>
      </c>
      <c r="G32" s="63" t="str">
        <f>IF(C32="","",HLOOKUP($B$2,'KPI2'!$E$11:$R$41,8,FALSE))</f>
        <v/>
      </c>
      <c r="H32" s="63" t="str">
        <f>IF(C32="","",HLOOKUP($B$2,'KPI2'!$E$11:$R$41,9,FALSE))</f>
        <v/>
      </c>
      <c r="I32" s="21" t="str">
        <f>IF(C32="","",HLOOKUP($B$2,'KPI2'!$E$11:$R$41,10,FALSE))</f>
        <v/>
      </c>
      <c r="J32" s="9">
        <f t="shared" si="7"/>
        <v>0</v>
      </c>
      <c r="K32" s="22">
        <f t="shared" si="5"/>
        <v>0</v>
      </c>
    </row>
    <row r="33" spans="2:11">
      <c r="B33" s="23" t="str">
        <f t="shared" si="10"/>
        <v>Meta 2</v>
      </c>
      <c r="C33" t="str">
        <f>IF('O2'!$B$15="","",'O2'!$B$15)</f>
        <v/>
      </c>
      <c r="D33" s="9">
        <f>IF(B33="","",'O2'!$G$15)</f>
        <v>0</v>
      </c>
      <c r="E33" t="str">
        <f>IF(C33="","",'O2'!$D$15)</f>
        <v/>
      </c>
      <c r="F33" s="9">
        <f t="shared" si="9"/>
        <v>0</v>
      </c>
      <c r="G33" s="63" t="str">
        <f>IF(C33="","",HLOOKUP($B$2,'KPI2'!$E$11:$R$41,11,FALSE))</f>
        <v/>
      </c>
      <c r="H33" s="63" t="str">
        <f>IF(C33="","",HLOOKUP($B$2,'KPI2'!$E$11:$R$41,12,FALSE))</f>
        <v/>
      </c>
      <c r="I33" s="21" t="str">
        <f>IF(C33="","",HLOOKUP($B$2,'KPI2'!$E$11:$R$41,13,FALSE))</f>
        <v/>
      </c>
      <c r="J33" s="9">
        <f t="shared" si="7"/>
        <v>0</v>
      </c>
      <c r="K33" s="22">
        <f t="shared" si="5"/>
        <v>0</v>
      </c>
    </row>
    <row r="34" spans="2:11">
      <c r="B34" s="23" t="str">
        <f t="shared" si="10"/>
        <v>Meta 2</v>
      </c>
      <c r="C34" t="str">
        <f>IF('O2'!$B$16="","",'O2'!$B$16)</f>
        <v/>
      </c>
      <c r="D34" s="9">
        <f>IF(B34="","",'O2'!$G$16)</f>
        <v>0</v>
      </c>
      <c r="E34" t="str">
        <f>IF(C34="","",'O2'!$D$16)</f>
        <v/>
      </c>
      <c r="F34" s="9">
        <f t="shared" si="9"/>
        <v>0</v>
      </c>
      <c r="G34" s="63" t="str">
        <f>IF(C34="","",HLOOKUP($B$2,'KPI2'!$E$11:$R$41,14,FALSE))</f>
        <v/>
      </c>
      <c r="H34" s="63" t="str">
        <f>IF(C34="","",HLOOKUP($B$2,'KPI2'!$E$11:$R$41,15,FALSE))</f>
        <v/>
      </c>
      <c r="I34" s="21" t="str">
        <f>IF(C34="","",HLOOKUP($B$2,'KPI2'!$E$11:$R$41,16,FALSE))</f>
        <v/>
      </c>
      <c r="J34" s="9">
        <f t="shared" si="7"/>
        <v>0</v>
      </c>
      <c r="K34" s="22">
        <f t="shared" si="5"/>
        <v>0</v>
      </c>
    </row>
    <row r="35" spans="2:11">
      <c r="B35" s="23" t="str">
        <f t="shared" si="10"/>
        <v>Meta 2</v>
      </c>
      <c r="C35" t="str">
        <f>IF('O2'!$B$17="","",'O2'!$B$17)</f>
        <v/>
      </c>
      <c r="D35" s="9">
        <f>IF(B35="","",'O2'!$G$17)</f>
        <v>0</v>
      </c>
      <c r="E35" t="str">
        <f>IF(C35="","",'O2'!$D$17)</f>
        <v/>
      </c>
      <c r="F35" s="9">
        <f t="shared" si="9"/>
        <v>0</v>
      </c>
      <c r="G35" s="63" t="str">
        <f>IF(C35="","",HLOOKUP($B$2,'KPI2'!$E$11:$R$41,17,FALSE))</f>
        <v/>
      </c>
      <c r="H35" s="63" t="str">
        <f>IF(C35="","",HLOOKUP($B$2,'KPI2'!$E$11:$R$41,18,FALSE))</f>
        <v/>
      </c>
      <c r="I35" s="21" t="str">
        <f>IF(C35="","",HLOOKUP($B$2,'KPI2'!$E$11:$R$41,19,FALSE))</f>
        <v/>
      </c>
      <c r="J35" s="9">
        <f t="shared" si="7"/>
        <v>0</v>
      </c>
      <c r="K35" s="22">
        <f t="shared" si="5"/>
        <v>0</v>
      </c>
    </row>
    <row r="36" spans="2:11">
      <c r="B36" s="23" t="str">
        <f t="shared" si="10"/>
        <v>Meta 2</v>
      </c>
      <c r="C36" t="str">
        <f>IF('O2'!$B$18="","",'O2'!$B$18)</f>
        <v/>
      </c>
      <c r="D36" s="9">
        <f>IF(B36="","",'O2'!$G$18)</f>
        <v>0</v>
      </c>
      <c r="E36" t="str">
        <f>IF(C36="","",'O2'!$D$18)</f>
        <v/>
      </c>
      <c r="F36" s="9">
        <f t="shared" si="9"/>
        <v>0</v>
      </c>
      <c r="G36" s="63" t="str">
        <f>IF(C36="","",HLOOKUP($B$2,'KPI2'!$E$11:$R$41,20,FALSE))</f>
        <v/>
      </c>
      <c r="H36" s="63" t="str">
        <f>IF(C36="","",HLOOKUP($B$2,'KPI2'!$E$11:$R$41,21,FALSE))</f>
        <v/>
      </c>
      <c r="I36" s="21" t="str">
        <f>IF(C36="","",HLOOKUP($B$2,'KPI2'!$E$11:$R$41,22,FALSE))</f>
        <v/>
      </c>
      <c r="J36" s="9">
        <f t="shared" si="7"/>
        <v>0</v>
      </c>
      <c r="K36" s="22">
        <f t="shared" si="5"/>
        <v>0</v>
      </c>
    </row>
    <row r="37" spans="2:11">
      <c r="B37" s="23" t="str">
        <f t="shared" si="10"/>
        <v>Meta 2</v>
      </c>
      <c r="C37" t="str">
        <f>IF('O2'!$B$19="","",'O2'!$B$19)</f>
        <v/>
      </c>
      <c r="D37" s="9">
        <f>IF(B37="","",'O2'!$G$19)</f>
        <v>0</v>
      </c>
      <c r="E37" t="str">
        <f>IF(C37="","",'O2'!$D$19)</f>
        <v/>
      </c>
      <c r="F37" s="9">
        <f t="shared" si="9"/>
        <v>0</v>
      </c>
      <c r="G37" s="63" t="str">
        <f>IF(C37="","",HLOOKUP($B$2,'KPI2'!$E$11:$R$41,23,FALSE))</f>
        <v/>
      </c>
      <c r="H37" s="63" t="str">
        <f>IF(C37="","",HLOOKUP($B$2,'KPI2'!$E$11:$R$41,24,FALSE))</f>
        <v/>
      </c>
      <c r="I37" s="21" t="str">
        <f>IF(C37="","",HLOOKUP($B$2,'KPI2'!$E$11:$R$41,25,FALSE))</f>
        <v/>
      </c>
      <c r="J37" s="9">
        <f t="shared" si="7"/>
        <v>0</v>
      </c>
      <c r="K37" s="22">
        <f t="shared" si="5"/>
        <v>0</v>
      </c>
    </row>
    <row r="38" spans="2:11">
      <c r="B38" s="23" t="str">
        <f t="shared" si="10"/>
        <v>Meta 2</v>
      </c>
      <c r="C38" t="str">
        <f>IF('O2'!$B$20="","",'O2'!$B$20)</f>
        <v/>
      </c>
      <c r="D38" s="9">
        <f>IF(B38="","",'O2'!$G$20)</f>
        <v>0</v>
      </c>
      <c r="E38" t="str">
        <f>IF(C38="","",'O2'!$D$20)</f>
        <v/>
      </c>
      <c r="F38" s="9">
        <f t="shared" si="9"/>
        <v>0</v>
      </c>
      <c r="G38" s="63" t="str">
        <f>IF(C38="","",HLOOKUP($B$2,'KPI2'!$E$11:$R$41,26,FALSE))</f>
        <v/>
      </c>
      <c r="H38" s="63" t="str">
        <f>IF(C38="","",HLOOKUP($B$2,'KPI2'!$E$11:$R$41,27,FALSE))</f>
        <v/>
      </c>
      <c r="I38" s="21" t="str">
        <f>IF(C38="","",HLOOKUP($B$2,'KPI2'!$E$11:$R$41,28,FALSE))</f>
        <v/>
      </c>
      <c r="J38" s="9">
        <f t="shared" si="7"/>
        <v>0</v>
      </c>
      <c r="K38" s="22">
        <f t="shared" si="5"/>
        <v>0</v>
      </c>
    </row>
    <row r="39" spans="2:11">
      <c r="B39" s="24" t="str">
        <f t="shared" si="10"/>
        <v>Meta 2</v>
      </c>
      <c r="C39" s="14" t="str">
        <f>IF('O2'!$B$21="","",'O2'!$B$21)</f>
        <v/>
      </c>
      <c r="D39" s="13">
        <f>IF(B39="","",'O2'!$G$21)</f>
        <v>0</v>
      </c>
      <c r="E39" s="14" t="str">
        <f>IF(C39="","",'O2'!$D$21)</f>
        <v/>
      </c>
      <c r="F39" s="13">
        <f t="shared" si="9"/>
        <v>0</v>
      </c>
      <c r="G39" s="65" t="str">
        <f>IF(C39="","",HLOOKUP($B$2,'KPI2'!$E$11:$R$41,29,FALSE))</f>
        <v/>
      </c>
      <c r="H39" s="65" t="str">
        <f>IF(C39="","",HLOOKUP($B$2,'KPI2'!$E$11:$R$41,30,FALSE))</f>
        <v/>
      </c>
      <c r="I39" s="15" t="str">
        <f>IF(C39="","",HLOOKUP($B$2,'KPI2'!$E$11:$R$41,31,FALSE))</f>
        <v/>
      </c>
      <c r="J39" s="13">
        <f t="shared" si="7"/>
        <v>0</v>
      </c>
      <c r="K39" s="25">
        <f t="shared" si="5"/>
        <v>0</v>
      </c>
    </row>
    <row r="40" spans="2:11">
      <c r="B40" s="18" t="str">
        <f>'O3'!D$10</f>
        <v>Meta 3</v>
      </c>
      <c r="C40" s="12" t="str">
        <f>IF('O3'!$B$12="","",'O3'!$B$12)</f>
        <v>Incrementar en 30% el reconocimiento de marca en redes sociales antes de junio de 2026.</v>
      </c>
      <c r="D40" s="9" t="str">
        <f>IF(B40="","",'O3'!$G$12)</f>
        <v>↑</v>
      </c>
      <c r="E40" s="12" t="str">
        <f>IF(C40="","",'O3'!$D$12)</f>
        <v>Comercialización (Marketing y Ventas)</v>
      </c>
      <c r="F40" s="9">
        <f>IF(C40="",0,1)</f>
        <v>1</v>
      </c>
      <c r="G40" s="64">
        <f>IF(C40="","",HLOOKUP($B$2,'KPI3'!$E$11:$R$41,2,FALSE))</f>
        <v>14523</v>
      </c>
      <c r="H40" s="64">
        <f>IF(C40="","",HLOOKUP($B$2,'KPI3'!$E$11:$R$41,3,FALSE))</f>
        <v>10000</v>
      </c>
      <c r="I40" s="69">
        <f>IF(C40="","",HLOOKUP($B$2,'KPI3'!$E$11:$R$41,4,FALSE))</f>
        <v>1.4522999999999999</v>
      </c>
      <c r="J40" s="9">
        <f t="shared" si="7"/>
        <v>1</v>
      </c>
      <c r="K40" s="22">
        <f t="shared" si="5"/>
        <v>0</v>
      </c>
    </row>
    <row r="41" spans="2:11">
      <c r="B41" s="23" t="str">
        <f>B40</f>
        <v>Meta 3</v>
      </c>
      <c r="C41" t="str">
        <f>IF('O3'!$B$13="","",'O3'!$B$13)</f>
        <v>Lograr que 60% de los visitantes recomienden nuestros productos en encuestas de salida para diciembre de 2025.</v>
      </c>
      <c r="D41" s="9" t="str">
        <f>IF(B41="","",'O3'!$G$13)</f>
        <v>↑</v>
      </c>
      <c r="E41" t="str">
        <f>IF(C41="","",'O3'!$D$13)</f>
        <v>Comercialización (Marketing y Ventas)</v>
      </c>
      <c r="F41" s="9">
        <f t="shared" ref="F41:F49" si="11">IF(C41="",0,1)</f>
        <v>1</v>
      </c>
      <c r="G41" s="63">
        <f>IF(C41="","",HLOOKUP($B$2,'KPI3'!$E$11:$R$41,5,FALSE))</f>
        <v>7.833333333333333</v>
      </c>
      <c r="H41" s="63">
        <f>IF(C41="","",HLOOKUP($B$2,'KPI3'!$E$11:$R$41,6,FALSE))</f>
        <v>8</v>
      </c>
      <c r="I41" s="21">
        <f>IF(C41="","",HLOOKUP($B$2,'KPI3'!$E$11:$R$41,7,FALSE))</f>
        <v>0.97916666666666663</v>
      </c>
      <c r="J41" s="9">
        <f t="shared" si="7"/>
        <v>1</v>
      </c>
      <c r="K41" s="22">
        <f t="shared" si="5"/>
        <v>0</v>
      </c>
    </row>
    <row r="42" spans="2:11">
      <c r="B42" s="23" t="str">
        <f t="shared" ref="B42:B49" si="12">B41</f>
        <v>Meta 3</v>
      </c>
      <c r="C42">
        <f>IF('O3'!$B$13="","",'O3'!$B$14)</f>
        <v>0</v>
      </c>
      <c r="D42" s="9">
        <f>IF(B42="","",'O3'!$G$14)</f>
        <v>0</v>
      </c>
      <c r="E42">
        <f>IF(C42="","",'O3'!$D$14)</f>
        <v>0</v>
      </c>
      <c r="F42" s="9">
        <f t="shared" si="11"/>
        <v>1</v>
      </c>
      <c r="G42" s="63" t="str">
        <f>IF(C42="","",HLOOKUP($B$2,'KPI3'!$E$11:$R$41,8,FALSE))</f>
        <v/>
      </c>
      <c r="H42" s="63" t="str">
        <f>IF(C42="","",HLOOKUP($B$2,'KPI3'!$E$11:$R$41,9,FALSE))</f>
        <v/>
      </c>
      <c r="I42" s="21" t="str">
        <f>IF(C42="","",HLOOKUP($B$2,'KPI3'!$E$11:$R$41,10,FALSE))</f>
        <v/>
      </c>
      <c r="J42" s="9">
        <f t="shared" si="7"/>
        <v>0</v>
      </c>
      <c r="K42" s="22">
        <f t="shared" si="5"/>
        <v>0</v>
      </c>
    </row>
    <row r="43" spans="2:11">
      <c r="B43" s="23" t="str">
        <f t="shared" si="12"/>
        <v>Meta 3</v>
      </c>
      <c r="C43" t="str">
        <f>IF('O3'!$B$15="","",'O3'!$B$15)</f>
        <v/>
      </c>
      <c r="D43" s="9">
        <f>IF(B43="","",'O3'!$G$15)</f>
        <v>0</v>
      </c>
      <c r="E43" t="str">
        <f>IF(C43="","",'O3'!$D$15)</f>
        <v/>
      </c>
      <c r="F43" s="9">
        <f t="shared" si="11"/>
        <v>0</v>
      </c>
      <c r="G43" s="63" t="str">
        <f>IF(C43="","",HLOOKUP($B$2,'KPI3'!$E$11:$R$41,11,FALSE))</f>
        <v/>
      </c>
      <c r="H43" s="63" t="str">
        <f>IF(C43="","",HLOOKUP($B$2,'KPI3'!$E$11:$R$41,12,FALSE))</f>
        <v/>
      </c>
      <c r="I43" s="21" t="str">
        <f>IF(C43="","",HLOOKUP($B$2,'KPI3'!$E$11:$R$41,13,FALSE))</f>
        <v/>
      </c>
      <c r="J43" s="9">
        <f t="shared" si="7"/>
        <v>0</v>
      </c>
      <c r="K43" s="22">
        <f t="shared" si="5"/>
        <v>0</v>
      </c>
    </row>
    <row r="44" spans="2:11">
      <c r="B44" s="23" t="str">
        <f t="shared" si="12"/>
        <v>Meta 3</v>
      </c>
      <c r="C44" t="str">
        <f>IF('O3'!$B$16="","",'O3'!$B$16)</f>
        <v/>
      </c>
      <c r="D44" s="9">
        <f>IF(B44="","",'O3'!$G$16)</f>
        <v>0</v>
      </c>
      <c r="E44" t="str">
        <f>IF(C44="","",'O3'!$D$16)</f>
        <v/>
      </c>
      <c r="F44" s="9">
        <f t="shared" si="11"/>
        <v>0</v>
      </c>
      <c r="G44" s="63" t="str">
        <f>IF(C44="","",HLOOKUP($B$2,'KPI3'!$E$11:$R$41,14,FALSE))</f>
        <v/>
      </c>
      <c r="H44" s="63" t="str">
        <f>IF(C44="","",HLOOKUP($B$2,'KPI3'!$E$11:$R$41,15,FALSE))</f>
        <v/>
      </c>
      <c r="I44" s="21" t="str">
        <f>IF(C44="","",HLOOKUP($B$2,'KPI3'!$E$11:$R$41,16,FALSE))</f>
        <v/>
      </c>
      <c r="J44" s="9">
        <f t="shared" si="7"/>
        <v>0</v>
      </c>
      <c r="K44" s="22">
        <f t="shared" si="5"/>
        <v>0</v>
      </c>
    </row>
    <row r="45" spans="2:11">
      <c r="B45" s="23" t="str">
        <f t="shared" si="12"/>
        <v>Meta 3</v>
      </c>
      <c r="C45" t="str">
        <f>IF('O3'!$B$17="","",'O3'!$B$17)</f>
        <v/>
      </c>
      <c r="D45" s="9">
        <f>IF(B45="","",'O3'!$G$17)</f>
        <v>0</v>
      </c>
      <c r="E45" t="str">
        <f>IF(C45="","",'O3'!$D$17)</f>
        <v/>
      </c>
      <c r="F45" s="9">
        <f t="shared" si="11"/>
        <v>0</v>
      </c>
      <c r="G45" s="63" t="str">
        <f>IF(C45="","",HLOOKUP($B$2,'KPI3'!$E$11:$R$41,17,FALSE))</f>
        <v/>
      </c>
      <c r="H45" s="63" t="str">
        <f>IF(C45="","",HLOOKUP($B$2,'KPI3'!$E$11:$R$41,18,FALSE))</f>
        <v/>
      </c>
      <c r="I45" s="21" t="str">
        <f>IF(C45="","",HLOOKUP($B$2,'KPI3'!$E$11:$R$41,19,FALSE))</f>
        <v/>
      </c>
      <c r="J45" s="9">
        <f t="shared" si="7"/>
        <v>0</v>
      </c>
      <c r="K45" s="22">
        <f t="shared" si="5"/>
        <v>0</v>
      </c>
    </row>
    <row r="46" spans="2:11">
      <c r="B46" s="23" t="str">
        <f t="shared" si="12"/>
        <v>Meta 3</v>
      </c>
      <c r="C46" t="str">
        <f>IF('O3'!$B$18="","",'O3'!$B$18)</f>
        <v/>
      </c>
      <c r="D46" s="9">
        <f>IF(B46="","",'O3'!$G$18)</f>
        <v>0</v>
      </c>
      <c r="E46" t="str">
        <f>IF(C46="","",'O3'!$D$18)</f>
        <v/>
      </c>
      <c r="F46" s="9">
        <f t="shared" si="11"/>
        <v>0</v>
      </c>
      <c r="G46" s="63" t="str">
        <f>IF(C46="","",HLOOKUP($B$2,'KPI3'!$E$11:$R$41,20,FALSE))</f>
        <v/>
      </c>
      <c r="H46" s="63" t="str">
        <f>IF(C46="","",HLOOKUP($B$2,'KPI3'!$E$11:$R$41,21,FALSE))</f>
        <v/>
      </c>
      <c r="I46" s="21" t="str">
        <f>IF(C46="","",HLOOKUP($B$2,'KPI3'!$E$11:$R$41,22,FALSE))</f>
        <v/>
      </c>
      <c r="J46" s="9">
        <f t="shared" si="7"/>
        <v>0</v>
      </c>
      <c r="K46" s="22">
        <f t="shared" si="5"/>
        <v>0</v>
      </c>
    </row>
    <row r="47" spans="2:11">
      <c r="B47" s="23" t="str">
        <f t="shared" si="12"/>
        <v>Meta 3</v>
      </c>
      <c r="C47" t="str">
        <f>IF('O3'!$B$19="","",'O3'!$B$19)</f>
        <v/>
      </c>
      <c r="D47" s="9">
        <f>IF(B47="","",'O3'!$G$19)</f>
        <v>0</v>
      </c>
      <c r="E47" t="str">
        <f>IF(C47="","",'O3'!$D$19)</f>
        <v/>
      </c>
      <c r="F47" s="9">
        <f t="shared" si="11"/>
        <v>0</v>
      </c>
      <c r="G47" s="63" t="str">
        <f>IF(C47="","",HLOOKUP($B$2,'KPI3'!$E$11:$R$41,23,FALSE))</f>
        <v/>
      </c>
      <c r="H47" s="63" t="str">
        <f>IF(C47="","",HLOOKUP($B$2,'KPI3'!$E$11:$R$41,24,FALSE))</f>
        <v/>
      </c>
      <c r="I47" s="21" t="str">
        <f>IF(C47="","",HLOOKUP($B$2,'KPI3'!$E$11:$R$41,25,FALSE))</f>
        <v/>
      </c>
      <c r="J47" s="9">
        <f t="shared" si="7"/>
        <v>0</v>
      </c>
      <c r="K47" s="22">
        <f t="shared" si="5"/>
        <v>0</v>
      </c>
    </row>
    <row r="48" spans="2:11">
      <c r="B48" s="23" t="str">
        <f t="shared" si="12"/>
        <v>Meta 3</v>
      </c>
      <c r="C48" t="str">
        <f>IF('O3'!$B$20="","",'O3'!$B$20)</f>
        <v/>
      </c>
      <c r="D48" s="9">
        <f>IF(B48="","",'O3'!$G$20)</f>
        <v>0</v>
      </c>
      <c r="E48" t="str">
        <f>IF(C48="","",'O3'!$D$20)</f>
        <v/>
      </c>
      <c r="F48" s="9">
        <f t="shared" si="11"/>
        <v>0</v>
      </c>
      <c r="G48" s="63" t="str">
        <f>IF(C48="","",HLOOKUP($B$2,'KPI3'!$E$11:$R$41,26,FALSE))</f>
        <v/>
      </c>
      <c r="H48" s="63" t="str">
        <f>IF(C48="","",HLOOKUP($B$2,'KPI3'!$E$11:$R$41,27,FALSE))</f>
        <v/>
      </c>
      <c r="I48" s="21" t="str">
        <f>IF(C48="","",HLOOKUP($B$2,'KPI3'!$E$11:$R$41,28,FALSE))</f>
        <v/>
      </c>
      <c r="J48" s="9">
        <f t="shared" si="7"/>
        <v>0</v>
      </c>
      <c r="K48" s="22">
        <f t="shared" si="5"/>
        <v>0</v>
      </c>
    </row>
    <row r="49" spans="2:11">
      <c r="B49" s="23" t="str">
        <f t="shared" si="12"/>
        <v>Meta 3</v>
      </c>
      <c r="C49" s="14" t="str">
        <f>IF('O3'!$B$21="","",'O3'!$B$21)</f>
        <v/>
      </c>
      <c r="D49" s="13">
        <f>IF(B49="","",'O3'!$G$21)</f>
        <v>0</v>
      </c>
      <c r="E49" s="14" t="str">
        <f>IF(C49="","",'O3'!$D$21)</f>
        <v/>
      </c>
      <c r="F49" s="13">
        <f t="shared" si="11"/>
        <v>0</v>
      </c>
      <c r="G49" s="65" t="str">
        <f>IF(C49="","",HLOOKUP($B$2,'KPI3'!$E$11:$R$41,29,FALSE))</f>
        <v/>
      </c>
      <c r="H49" s="65" t="str">
        <f>IF(C49="","",HLOOKUP($B$2,'KPI3'!$E$11:$R$41,30,FALSE))</f>
        <v/>
      </c>
      <c r="I49" s="15" t="str">
        <f>IF(C49="","",HLOOKUP($B$2,'KPI3'!$E$11:$R$41,31,FALSE))</f>
        <v/>
      </c>
      <c r="J49" s="13">
        <f t="shared" si="7"/>
        <v>0</v>
      </c>
      <c r="K49" s="25">
        <f t="shared" si="5"/>
        <v>0</v>
      </c>
    </row>
    <row r="50" spans="2:11">
      <c r="B50" s="18" t="str">
        <f>'O4'!E$10</f>
        <v>Meta 4</v>
      </c>
      <c r="C50" s="12" t="str">
        <f>IF('O4'!$B$12="","",'O4'!$B$12)</f>
        <v>Obtener la certificación de Buenas Prácticas de Manufactura antes de noviembre de 2026.</v>
      </c>
      <c r="D50" s="9" t="str">
        <f>IF(B50="","",'O4'!$G$12)</f>
        <v>↑</v>
      </c>
      <c r="E50" s="12" t="str">
        <f>IF(C50="","",'O4'!$D$12)</f>
        <v>Administración</v>
      </c>
      <c r="F50" s="9">
        <f>IF(C50="",0,1)</f>
        <v>1</v>
      </c>
      <c r="G50" s="64">
        <f>IF(C50="","",HLOOKUP($B$2,'KPI4'!$E$11:$R$41,2,FALSE))</f>
        <v>0.54999999999999993</v>
      </c>
      <c r="H50" s="64">
        <f>IF(C50="","",HLOOKUP($B$2,'KPI4'!$E$11:$R$41,3,FALSE))</f>
        <v>0.6</v>
      </c>
      <c r="I50" s="69">
        <f>IF(C50="","",HLOOKUP($B$2,'KPI4'!$E$11:$R$41,4,FALSE))</f>
        <v>0.91666666666666663</v>
      </c>
      <c r="J50" s="9">
        <f t="shared" si="7"/>
        <v>1</v>
      </c>
      <c r="K50" s="22">
        <f t="shared" si="5"/>
        <v>0</v>
      </c>
    </row>
    <row r="51" spans="2:11">
      <c r="B51" s="23" t="str">
        <f>B50</f>
        <v>Meta 4</v>
      </c>
      <c r="C51" t="str">
        <f>IF('O4'!$B$13="","",'O4'!$B$13)</f>
        <v>Reducir en 50% las devoluciones por defectos en producto para diciembre de 2025.</v>
      </c>
      <c r="D51" s="9" t="str">
        <f>IF(B51="","",'O4'!$G$13)</f>
        <v>↓</v>
      </c>
      <c r="E51" t="str">
        <f>IF(C51="","",'O4'!$D$13)</f>
        <v>Operaciones / Producción</v>
      </c>
      <c r="F51" s="9">
        <f t="shared" ref="F51:F59" si="13">IF(C51="",0,1)</f>
        <v>1</v>
      </c>
      <c r="G51" s="63">
        <f>IF(C51="","",HLOOKUP($B$2,'KPI4'!$E$11:$R$41,5,FALSE))</f>
        <v>2.5000000000000001E-2</v>
      </c>
      <c r="H51" s="63">
        <f>IF(C51="","",HLOOKUP($B$2,'KPI4'!$E$11:$R$41,6,FALSE))</f>
        <v>0.02</v>
      </c>
      <c r="I51" s="21">
        <f>IF(C51="","",HLOOKUP($B$2,'KPI4'!$E$11:$R$41,7,FALSE))</f>
        <v>1.25</v>
      </c>
      <c r="J51" s="9">
        <f t="shared" si="7"/>
        <v>0</v>
      </c>
      <c r="K51" s="22">
        <f t="shared" si="5"/>
        <v>1</v>
      </c>
    </row>
    <row r="52" spans="2:11">
      <c r="B52" s="23" t="str">
        <f t="shared" ref="B52:B59" si="14">B51</f>
        <v>Meta 4</v>
      </c>
      <c r="C52">
        <f>IF('O4'!$B$13="","",'O4'!$B$14)</f>
        <v>0</v>
      </c>
      <c r="D52" s="9">
        <f>IF(B52="","",'O4'!$G$14)</f>
        <v>0</v>
      </c>
      <c r="E52">
        <f>IF(C52="","",'O4'!$D$14)</f>
        <v>0</v>
      </c>
      <c r="F52" s="9">
        <f t="shared" si="13"/>
        <v>1</v>
      </c>
      <c r="G52" s="63" t="str">
        <f>IF(C52="","",HLOOKUP($B$2,'KPI4'!$E$11:$R$41,8,FALSE))</f>
        <v/>
      </c>
      <c r="H52" s="63" t="str">
        <f>IF(C52="","",HLOOKUP($B$2,'KPI4'!$E$11:$R$41,9,FALSE))</f>
        <v/>
      </c>
      <c r="I52" s="21" t="str">
        <f>IF(C52="","",HLOOKUP($B$2,'KPI4'!$E$11:$R$41,10,FALSE))</f>
        <v/>
      </c>
      <c r="J52" s="9">
        <f t="shared" si="7"/>
        <v>0</v>
      </c>
      <c r="K52" s="22">
        <f t="shared" ref="K52:K79" si="15">IF(AND(I52&gt;=$D$2,D52="↓"),1,IF(AND(I52&lt;$D$2,D52="↑"),1,0))</f>
        <v>0</v>
      </c>
    </row>
    <row r="53" spans="2:11">
      <c r="B53" s="23" t="str">
        <f t="shared" si="14"/>
        <v>Meta 4</v>
      </c>
      <c r="C53" t="str">
        <f>IF('O4'!$B$15="","",'O4'!$B$15)</f>
        <v/>
      </c>
      <c r="D53" s="9">
        <f>IF(B53="","",'O4'!$G$15)</f>
        <v>0</v>
      </c>
      <c r="E53" t="str">
        <f>IF(C53="","",'O4'!$D$15)</f>
        <v/>
      </c>
      <c r="F53" s="9">
        <f t="shared" si="13"/>
        <v>0</v>
      </c>
      <c r="G53" s="63" t="str">
        <f>IF(C53="","",HLOOKUP($B$2,'KPI4'!$E$11:$R$41,11,FALSE))</f>
        <v/>
      </c>
      <c r="H53" s="63" t="str">
        <f>IF(C53="","",HLOOKUP($B$2,'KPI4'!$E$11:$R$41,12,FALSE))</f>
        <v/>
      </c>
      <c r="I53" s="21" t="str">
        <f>IF(C53="","",HLOOKUP($B$2,'KPI4'!$E$11:$R$41,13,FALSE))</f>
        <v/>
      </c>
      <c r="J53" s="9">
        <f t="shared" si="7"/>
        <v>0</v>
      </c>
      <c r="K53" s="22">
        <f t="shared" si="15"/>
        <v>0</v>
      </c>
    </row>
    <row r="54" spans="2:11">
      <c r="B54" s="23" t="str">
        <f t="shared" si="14"/>
        <v>Meta 4</v>
      </c>
      <c r="C54" t="str">
        <f>IF('O4'!$B$16="","",'O4'!$B$16)</f>
        <v/>
      </c>
      <c r="D54" s="9">
        <f>IF(B54="","",'O4'!$G$16)</f>
        <v>0</v>
      </c>
      <c r="E54" t="str">
        <f>IF(C54="","",'O4'!$D$16)</f>
        <v/>
      </c>
      <c r="F54" s="9">
        <f t="shared" si="13"/>
        <v>0</v>
      </c>
      <c r="G54" s="63" t="str">
        <f>IF(C54="","",HLOOKUP($B$2,'KPI4'!$E$11:$R$41,14,FALSE))</f>
        <v/>
      </c>
      <c r="H54" s="63" t="str">
        <f>IF(C54="","",HLOOKUP($B$2,'KPI4'!$E$11:$R$41,15,FALSE))</f>
        <v/>
      </c>
      <c r="I54" s="21" t="str">
        <f>IF(C54="","",HLOOKUP($B$2,'KPI4'!$E$11:$R$41,16,FALSE))</f>
        <v/>
      </c>
      <c r="J54" s="9">
        <f t="shared" si="7"/>
        <v>0</v>
      </c>
      <c r="K54" s="22">
        <f t="shared" si="15"/>
        <v>0</v>
      </c>
    </row>
    <row r="55" spans="2:11">
      <c r="B55" s="23" t="str">
        <f t="shared" si="14"/>
        <v>Meta 4</v>
      </c>
      <c r="C55" t="str">
        <f>IF('O4'!$B$17="","",'O4'!$B$17)</f>
        <v/>
      </c>
      <c r="D55" s="9">
        <f>IF(B55="","",'O4'!$G$17)</f>
        <v>0</v>
      </c>
      <c r="E55" t="str">
        <f>IF(C55="","",'O4'!$D$17)</f>
        <v/>
      </c>
      <c r="F55" s="9">
        <f t="shared" si="13"/>
        <v>0</v>
      </c>
      <c r="G55" s="63" t="str">
        <f>IF(C55="","",HLOOKUP($B$2,'KPI4'!$E$11:$R$41,17,FALSE))</f>
        <v/>
      </c>
      <c r="H55" s="63" t="str">
        <f>IF(C55="","",HLOOKUP($B$2,'KPI4'!$E$11:$R$41,18,FALSE))</f>
        <v/>
      </c>
      <c r="I55" s="21" t="str">
        <f>IF(C55="","",HLOOKUP($B$2,'KPI4'!$E$11:$R$41,19,FALSE))</f>
        <v/>
      </c>
      <c r="J55" s="9">
        <f t="shared" si="7"/>
        <v>0</v>
      </c>
      <c r="K55" s="22">
        <f t="shared" si="15"/>
        <v>0</v>
      </c>
    </row>
    <row r="56" spans="2:11">
      <c r="B56" s="23" t="str">
        <f t="shared" si="14"/>
        <v>Meta 4</v>
      </c>
      <c r="C56" t="str">
        <f>IF('O4'!$B$18="","",'O4'!$B$18)</f>
        <v/>
      </c>
      <c r="D56" s="9">
        <f>IF(B56="","",'O4'!$G$18)</f>
        <v>0</v>
      </c>
      <c r="E56" t="str">
        <f>IF(C56="","",'O4'!$D$18)</f>
        <v/>
      </c>
      <c r="F56" s="9">
        <f t="shared" si="13"/>
        <v>0</v>
      </c>
      <c r="G56" s="63" t="str">
        <f>IF(C56="","",HLOOKUP($B$2,'KPI4'!$E$11:$R$41,20,FALSE))</f>
        <v/>
      </c>
      <c r="H56" s="63" t="str">
        <f>IF(C56="","",HLOOKUP($B$2,'KPI4'!$E$11:$R$41,21,FALSE))</f>
        <v/>
      </c>
      <c r="I56" s="21" t="str">
        <f>IF(C56="","",HLOOKUP($B$2,'KPI4'!$E$11:$R$41,22,FALSE))</f>
        <v/>
      </c>
      <c r="J56" s="9">
        <f t="shared" si="7"/>
        <v>0</v>
      </c>
      <c r="K56" s="22">
        <f t="shared" si="15"/>
        <v>0</v>
      </c>
    </row>
    <row r="57" spans="2:11">
      <c r="B57" s="23" t="str">
        <f t="shared" si="14"/>
        <v>Meta 4</v>
      </c>
      <c r="C57" t="str">
        <f>IF('O4'!$B$19="","",'O4'!$B$19)</f>
        <v/>
      </c>
      <c r="D57" s="9">
        <f>IF(B57="","",'O4'!$G$19)</f>
        <v>0</v>
      </c>
      <c r="E57" t="str">
        <f>IF(C57="","",'O4'!$D$19)</f>
        <v/>
      </c>
      <c r="F57" s="9">
        <f t="shared" si="13"/>
        <v>0</v>
      </c>
      <c r="G57" s="63" t="str">
        <f>IF(C57="","",HLOOKUP($B$2,'KPI4'!$E$11:$R$41,23,FALSE))</f>
        <v/>
      </c>
      <c r="H57" s="63" t="str">
        <f>IF(C57="","",HLOOKUP($B$2,'KPI4'!$E$11:$R$41,24,FALSE))</f>
        <v/>
      </c>
      <c r="I57" s="21" t="str">
        <f>IF(C57="","",HLOOKUP($B$2,'KPI4'!$E$11:$R$41,25,FALSE))</f>
        <v/>
      </c>
      <c r="J57" s="9">
        <f t="shared" si="7"/>
        <v>0</v>
      </c>
      <c r="K57" s="22">
        <f t="shared" si="15"/>
        <v>0</v>
      </c>
    </row>
    <row r="58" spans="2:11">
      <c r="B58" s="23" t="str">
        <f t="shared" si="14"/>
        <v>Meta 4</v>
      </c>
      <c r="C58" t="str">
        <f>IF('O4'!$B$20="","",'O4'!$B$20)</f>
        <v/>
      </c>
      <c r="D58" s="9">
        <f>IF(B58="","",'O4'!$G$20)</f>
        <v>0</v>
      </c>
      <c r="E58" t="str">
        <f>IF(C58="","",'O4'!$D$20)</f>
        <v/>
      </c>
      <c r="F58" s="9">
        <f t="shared" si="13"/>
        <v>0</v>
      </c>
      <c r="G58" s="63" t="str">
        <f>IF(C58="","",HLOOKUP($B$2,'KPI4'!$E$11:$R$41,26,FALSE))</f>
        <v/>
      </c>
      <c r="H58" s="63" t="str">
        <f>IF(C58="","",HLOOKUP($B$2,'KPI4'!$E$11:$R$41,27,FALSE))</f>
        <v/>
      </c>
      <c r="I58" s="21" t="str">
        <f>IF(C58="","",HLOOKUP($B$2,'KPI4'!$E$11:$R$41,28,FALSE))</f>
        <v/>
      </c>
      <c r="J58" s="9">
        <f t="shared" si="7"/>
        <v>0</v>
      </c>
      <c r="K58" s="22">
        <f t="shared" si="15"/>
        <v>0</v>
      </c>
    </row>
    <row r="59" spans="2:11">
      <c r="B59" s="23" t="str">
        <f t="shared" si="14"/>
        <v>Meta 4</v>
      </c>
      <c r="C59" s="14" t="str">
        <f>IF('O4'!$B$21="","",'O4'!$B$21)</f>
        <v/>
      </c>
      <c r="D59" s="13">
        <f>IF(B59="","",'O4'!$G$21)</f>
        <v>0</v>
      </c>
      <c r="E59" s="14" t="str">
        <f>IF(C59="","",'O4'!$D$21)</f>
        <v/>
      </c>
      <c r="F59" s="13">
        <f t="shared" si="13"/>
        <v>0</v>
      </c>
      <c r="G59" s="65" t="str">
        <f>IF(C59="","",HLOOKUP($B$2,'KPI4'!$E$11:$R$41,29,FALSE))</f>
        <v/>
      </c>
      <c r="H59" s="65" t="str">
        <f>IF(C59="","",HLOOKUP($B$2,'KPI4'!$E$11:$R$41,30,FALSE))</f>
        <v/>
      </c>
      <c r="I59" s="15" t="str">
        <f>IF(C59="","",HLOOKUP($B$2,'KPI4'!$E$11:$R$41,31,FALSE))</f>
        <v/>
      </c>
      <c r="J59" s="13">
        <f t="shared" si="7"/>
        <v>0</v>
      </c>
      <c r="K59" s="25">
        <f t="shared" si="15"/>
        <v>0</v>
      </c>
    </row>
    <row r="60" spans="2:11">
      <c r="B60" s="18" t="str">
        <f>'O5'!F$10</f>
        <v>Meta 5</v>
      </c>
      <c r="C60" s="12" t="str">
        <f>IF('O5'!$B$12="","",'O5'!$B$12)</f>
        <v>Lanzar una tienda en línea funcional antes de marzo de 2026.</v>
      </c>
      <c r="D60" s="9" t="str">
        <f>IF(B60="","",'O5'!$G$12)</f>
        <v>↑</v>
      </c>
      <c r="E60" s="12" t="str">
        <f>IF(C60="","",'O5'!$D$12)</f>
        <v>Tecnología / Sistemas / Innovación</v>
      </c>
      <c r="F60" s="9">
        <f>IF(C60="",0,1)</f>
        <v>1</v>
      </c>
      <c r="G60" s="64">
        <f>IF(C60="","",HLOOKUP($B$2,'KPI5'!$E$11:$R$41,2,FALSE))</f>
        <v>10.49</v>
      </c>
      <c r="H60" s="64">
        <f>IF(C60="","",HLOOKUP($B$2,'KPI5'!$E$11:$R$41,3,FALSE))</f>
        <v>10.800000000000002</v>
      </c>
      <c r="I60" s="69">
        <f>IF(C60="","",HLOOKUP($B$2,'KPI5'!$E$11:$R$41,4,FALSE))</f>
        <v>0.9712962962962961</v>
      </c>
      <c r="J60" s="9">
        <f t="shared" si="7"/>
        <v>1</v>
      </c>
      <c r="K60" s="22">
        <f t="shared" si="15"/>
        <v>0</v>
      </c>
    </row>
    <row r="61" spans="2:11">
      <c r="B61" s="23" t="str">
        <f>B60</f>
        <v>Meta 5</v>
      </c>
      <c r="C61" t="str">
        <f>IF('O5'!$B$13="","",'O5'!$B$13)</f>
        <v>Generar $1,000,000 MXN en ventas digitales acumuladas para diciembre de 2026.</v>
      </c>
      <c r="D61" s="9" t="str">
        <f>IF(B61="","",'O5'!$G$13)</f>
        <v>↑</v>
      </c>
      <c r="E61" t="str">
        <f>IF(C61="","",'O5'!$D$13)</f>
        <v>Comercialización (Marketing y Ventas)</v>
      </c>
      <c r="F61" s="9">
        <f t="shared" ref="F61:F69" si="16">IF(C61="",0,1)</f>
        <v>1</v>
      </c>
      <c r="G61" s="63">
        <f>IF(C61="","",HLOOKUP($B$2,'KPI5'!$E$11:$R$41,5,FALSE))</f>
        <v>0.69</v>
      </c>
      <c r="H61" s="63">
        <f>IF(C61="","",HLOOKUP($B$2,'KPI5'!$E$11:$R$41,6,FALSE))</f>
        <v>0.98</v>
      </c>
      <c r="I61" s="21">
        <f>IF(C61="","",HLOOKUP($B$2,'KPI5'!$E$11:$R$41,7,FALSE))</f>
        <v>0.70408163265306123</v>
      </c>
      <c r="J61" s="9">
        <f t="shared" si="7"/>
        <v>0</v>
      </c>
      <c r="K61" s="22">
        <f t="shared" si="15"/>
        <v>1</v>
      </c>
    </row>
    <row r="62" spans="2:11">
      <c r="B62" s="23" t="str">
        <f t="shared" ref="B62:B69" si="17">B61</f>
        <v>Meta 5</v>
      </c>
      <c r="C62">
        <f>IF('O5'!$B$13="","",'O5'!$B$14)</f>
        <v>0</v>
      </c>
      <c r="D62" s="9">
        <f>IF(B62="","",'O5'!$G$14)</f>
        <v>0</v>
      </c>
      <c r="E62">
        <f>IF(C62="","",'O5'!$D$14)</f>
        <v>0</v>
      </c>
      <c r="F62" s="9">
        <f t="shared" si="16"/>
        <v>1</v>
      </c>
      <c r="G62" s="63" t="str">
        <f>IF(C62="","",HLOOKUP($B$2,'KPI5'!$E$11:$R$41,8,FALSE))</f>
        <v/>
      </c>
      <c r="H62" s="63" t="str">
        <f>IF(C62="","",HLOOKUP($B$2,'KPI5'!$E$11:$R$41,9,FALSE))</f>
        <v/>
      </c>
      <c r="I62" s="21" t="str">
        <f>IF(C62="","",HLOOKUP($B$2,'KPI5'!$E$11:$R$41,10,FALSE))</f>
        <v/>
      </c>
      <c r="J62" s="9">
        <f t="shared" si="7"/>
        <v>0</v>
      </c>
      <c r="K62" s="22">
        <f t="shared" si="15"/>
        <v>0</v>
      </c>
    </row>
    <row r="63" spans="2:11">
      <c r="B63" s="23" t="str">
        <f t="shared" si="17"/>
        <v>Meta 5</v>
      </c>
      <c r="C63" t="str">
        <f>IF('O5'!$B$15="","",'O5'!$B$15)</f>
        <v/>
      </c>
      <c r="D63" s="9">
        <f>IF(B63="","",'O5'!$G$15)</f>
        <v>0</v>
      </c>
      <c r="E63" t="str">
        <f>IF(C63="","",'O5'!$D$15)</f>
        <v/>
      </c>
      <c r="F63" s="9">
        <f t="shared" si="16"/>
        <v>0</v>
      </c>
      <c r="G63" s="63" t="str">
        <f>IF(C63="","",HLOOKUP($B$2,'KPI5'!$E$11:$R$41,11,FALSE))</f>
        <v/>
      </c>
      <c r="H63" s="63" t="str">
        <f>IF(C63="","",HLOOKUP($B$2,'KPI5'!$E$11:$R$41,12,FALSE))</f>
        <v/>
      </c>
      <c r="I63" s="21" t="str">
        <f>IF(C63="","",HLOOKUP($B$2,'KPI5'!$E$11:$R$41,13,FALSE))</f>
        <v/>
      </c>
      <c r="J63" s="9">
        <f t="shared" si="7"/>
        <v>0</v>
      </c>
      <c r="K63" s="22">
        <f t="shared" si="15"/>
        <v>0</v>
      </c>
    </row>
    <row r="64" spans="2:11">
      <c r="B64" s="23" t="str">
        <f t="shared" si="17"/>
        <v>Meta 5</v>
      </c>
      <c r="C64" t="str">
        <f>IF('O5'!$B$16="","",'O5'!$B$16)</f>
        <v/>
      </c>
      <c r="D64" s="9">
        <f>IF(B64="","",'O5'!$G$16)</f>
        <v>0</v>
      </c>
      <c r="E64" t="str">
        <f>IF(C64="","",'O5'!$D$16)</f>
        <v/>
      </c>
      <c r="F64" s="9">
        <f t="shared" si="16"/>
        <v>0</v>
      </c>
      <c r="G64" s="63" t="str">
        <f>IF(C64="","",HLOOKUP($B$2,'KPI5'!$E$11:$R$41,14,FALSE))</f>
        <v/>
      </c>
      <c r="H64" s="63" t="str">
        <f>IF(C64="","",HLOOKUP($B$2,'KPI5'!$E$11:$R$41,15,FALSE))</f>
        <v/>
      </c>
      <c r="I64" s="21" t="str">
        <f>IF(C64="","",HLOOKUP($B$2,'KPI5'!$E$11:$R$41,16,FALSE))</f>
        <v/>
      </c>
      <c r="J64" s="9">
        <f t="shared" si="7"/>
        <v>0</v>
      </c>
      <c r="K64" s="22">
        <f t="shared" si="15"/>
        <v>0</v>
      </c>
    </row>
    <row r="65" spans="2:11">
      <c r="B65" s="23" t="str">
        <f t="shared" si="17"/>
        <v>Meta 5</v>
      </c>
      <c r="C65" t="str">
        <f>IF('O5'!$B$17="","",'O5'!$B$17)</f>
        <v/>
      </c>
      <c r="D65" s="9">
        <f>IF(B65="","",'O5'!$G$17)</f>
        <v>0</v>
      </c>
      <c r="E65" t="str">
        <f>IF(C65="","",'O5'!$D$17)</f>
        <v/>
      </c>
      <c r="F65" s="9">
        <f t="shared" si="16"/>
        <v>0</v>
      </c>
      <c r="G65" s="63" t="str">
        <f>IF(C65="","",HLOOKUP($B$2,'KPI5'!$E$11:$R$41,17,FALSE))</f>
        <v/>
      </c>
      <c r="H65" s="63" t="str">
        <f>IF(C65="","",HLOOKUP($B$2,'KPI5'!$E$11:$R$41,18,FALSE))</f>
        <v/>
      </c>
      <c r="I65" s="21" t="str">
        <f>IF(C65="","",HLOOKUP($B$2,'KPI5'!$E$11:$R$41,19,FALSE))</f>
        <v/>
      </c>
      <c r="J65" s="9">
        <f t="shared" si="7"/>
        <v>0</v>
      </c>
      <c r="K65" s="22">
        <f t="shared" si="15"/>
        <v>0</v>
      </c>
    </row>
    <row r="66" spans="2:11">
      <c r="B66" s="23" t="str">
        <f t="shared" si="17"/>
        <v>Meta 5</v>
      </c>
      <c r="C66" t="str">
        <f>IF('O5'!$B$18="","",'O5'!$B$18)</f>
        <v/>
      </c>
      <c r="D66" s="9">
        <f>IF(B66="","",'O5'!$G$18)</f>
        <v>0</v>
      </c>
      <c r="E66" t="str">
        <f>IF(C66="","",'O5'!$D$18)</f>
        <v/>
      </c>
      <c r="F66" s="9">
        <f t="shared" si="16"/>
        <v>0</v>
      </c>
      <c r="G66" s="63" t="str">
        <f>IF(C66="","",HLOOKUP($B$2,'KPI5'!$E$11:$R$41,20,FALSE))</f>
        <v/>
      </c>
      <c r="H66" s="63" t="str">
        <f>IF(C66="","",HLOOKUP($B$2,'KPI5'!$E$11:$R$41,21,FALSE))</f>
        <v/>
      </c>
      <c r="I66" s="21" t="str">
        <f>IF(C66="","",HLOOKUP($B$2,'KPI5'!$E$11:$R$41,22,FALSE))</f>
        <v/>
      </c>
      <c r="J66" s="9">
        <f t="shared" si="7"/>
        <v>0</v>
      </c>
      <c r="K66" s="22">
        <f t="shared" si="15"/>
        <v>0</v>
      </c>
    </row>
    <row r="67" spans="2:11">
      <c r="B67" s="23" t="str">
        <f t="shared" si="17"/>
        <v>Meta 5</v>
      </c>
      <c r="C67" t="str">
        <f>IF('O5'!$B$19="","",'O5'!$B$19)</f>
        <v/>
      </c>
      <c r="D67" s="9">
        <f>IF(B67="","",'O5'!$G$19)</f>
        <v>0</v>
      </c>
      <c r="E67" t="str">
        <f>IF(C67="","",'O5'!$D$19)</f>
        <v/>
      </c>
      <c r="F67" s="9">
        <f t="shared" si="16"/>
        <v>0</v>
      </c>
      <c r="G67" s="63" t="str">
        <f>IF(C67="","",HLOOKUP($B$2,'KPI5'!$E$11:$R$41,23,FALSE))</f>
        <v/>
      </c>
      <c r="H67" s="63" t="str">
        <f>IF(C67="","",HLOOKUP($B$2,'KPI5'!$E$11:$R$41,24,FALSE))</f>
        <v/>
      </c>
      <c r="I67" s="21" t="str">
        <f>IF(C67="","",HLOOKUP($B$2,'KPI5'!$E$11:$R$41,25,FALSE))</f>
        <v/>
      </c>
      <c r="J67" s="9">
        <f t="shared" si="7"/>
        <v>0</v>
      </c>
      <c r="K67" s="22">
        <f t="shared" si="15"/>
        <v>0</v>
      </c>
    </row>
    <row r="68" spans="2:11">
      <c r="B68" s="23" t="str">
        <f t="shared" si="17"/>
        <v>Meta 5</v>
      </c>
      <c r="C68" t="str">
        <f>IF('O5'!$B$20="","",'O5'!$B$20)</f>
        <v/>
      </c>
      <c r="D68" s="9">
        <f>IF(B68="","",'O5'!$G$20)</f>
        <v>0</v>
      </c>
      <c r="E68" t="str">
        <f>IF(C68="","",'O5'!$D$20)</f>
        <v/>
      </c>
      <c r="F68" s="9">
        <f t="shared" si="16"/>
        <v>0</v>
      </c>
      <c r="G68" s="63" t="str">
        <f>IF(C68="","",HLOOKUP($B$2,'KPI5'!$E$11:$R$41,26,FALSE))</f>
        <v/>
      </c>
      <c r="H68" s="63" t="str">
        <f>IF(C68="","",HLOOKUP($B$2,'KPI5'!$E$11:$R$41,27,FALSE))</f>
        <v/>
      </c>
      <c r="I68" s="21" t="str">
        <f>IF(C68="","",HLOOKUP($B$2,'KPI5'!$E$11:$R$41,28,FALSE))</f>
        <v/>
      </c>
      <c r="J68" s="9">
        <f t="shared" si="7"/>
        <v>0</v>
      </c>
      <c r="K68" s="22">
        <f t="shared" si="15"/>
        <v>0</v>
      </c>
    </row>
    <row r="69" spans="2:11">
      <c r="B69" s="23" t="str">
        <f t="shared" si="17"/>
        <v>Meta 5</v>
      </c>
      <c r="C69" s="14" t="str">
        <f>IF('O5'!$B$21="","",'O5'!$B$21)</f>
        <v/>
      </c>
      <c r="D69" s="13">
        <f>IF(B69="","",'O5'!$G$21)</f>
        <v>0</v>
      </c>
      <c r="E69" s="14" t="str">
        <f>IF(C69="","",'O5'!$D$21)</f>
        <v/>
      </c>
      <c r="F69" s="13">
        <f t="shared" si="16"/>
        <v>0</v>
      </c>
      <c r="G69" s="65" t="str">
        <f>IF(C69="","",HLOOKUP($B$2,'KPI5'!$E$11:$R$41,29,FALSE))</f>
        <v/>
      </c>
      <c r="H69" s="65" t="str">
        <f>IF(C69="","",HLOOKUP($B$2,'KPI5'!$E$11:$R$41,30,FALSE))</f>
        <v/>
      </c>
      <c r="I69" s="15" t="str">
        <f>IF(C69="","",HLOOKUP($B$2,'KPI5'!$E$11:$R$41,31,FALSE))</f>
        <v/>
      </c>
      <c r="J69" s="13">
        <f t="shared" si="7"/>
        <v>0</v>
      </c>
      <c r="K69" s="25">
        <f t="shared" si="15"/>
        <v>0</v>
      </c>
    </row>
    <row r="70" spans="2:11">
      <c r="B70" s="18" t="str">
        <f>'O6'!G$10</f>
        <v>Meta 6</v>
      </c>
      <c r="C70" s="12" t="str">
        <f>IF('O6'!$B$12="","",'O6'!$B$12)</f>
        <v>Implementar un plan anual de capacitación para todos los colaboradores antes de enero de 2026.</v>
      </c>
      <c r="D70" s="9" t="str">
        <f>IF(B70="","",'O6'!$G$12)</f>
        <v>↑</v>
      </c>
      <c r="E70" s="12" t="str">
        <f>IF(C70="","",'O6'!$D$12)</f>
        <v>Recursos Humanos</v>
      </c>
      <c r="F70" s="9">
        <f>IF(C70="",0,1)</f>
        <v>1</v>
      </c>
      <c r="G70" s="64">
        <f>IF(C70="","",HLOOKUP($B$2,'KPI6'!$E$11:$R$41,2,FALSE))</f>
        <v>1039</v>
      </c>
      <c r="H70" s="64">
        <f>IF(C70="","",HLOOKUP($B$2,'KPI6'!$E$11:$R$41,3,FALSE))</f>
        <v>1080</v>
      </c>
      <c r="I70" s="69">
        <f>IF(C70="","",HLOOKUP($B$2,'KPI6'!$E$11:$R$41,4,FALSE))</f>
        <v>0.96203703703703702</v>
      </c>
      <c r="J70" s="9">
        <f t="shared" si="7"/>
        <v>1</v>
      </c>
      <c r="K70" s="22">
        <f t="shared" si="15"/>
        <v>0</v>
      </c>
    </row>
    <row r="71" spans="2:11">
      <c r="B71" s="23" t="str">
        <f>B70</f>
        <v>Meta 6</v>
      </c>
      <c r="C71" t="str">
        <f>IF('O6'!$B$13="","",'O6'!$B$13)</f>
        <v>Lograr que el 80% del personal operativo participe en al menos una capacitación al año.</v>
      </c>
      <c r="D71" s="9" t="str">
        <f>IF(B71="","",'O6'!$G$13)</f>
        <v>↑</v>
      </c>
      <c r="E71" t="str">
        <f>IF(C71="","",'O6'!$D$13)</f>
        <v>Recursos Humanos</v>
      </c>
      <c r="F71" s="9">
        <f t="shared" ref="F71:F79" si="18">IF(C71="",0,1)</f>
        <v>1</v>
      </c>
      <c r="G71" s="63">
        <f>IF(C71="","",HLOOKUP($B$2,'KPI6'!$E$11:$R$41,5,FALSE))</f>
        <v>0.87750000000000006</v>
      </c>
      <c r="H71" s="63">
        <f>IF(C71="","",HLOOKUP($B$2,'KPI6'!$E$11:$R$41,6,FALSE))</f>
        <v>0.90000000000000024</v>
      </c>
      <c r="I71" s="21">
        <f>IF(C71="","",HLOOKUP($B$2,'KPI6'!$E$11:$R$41,7,FALSE))</f>
        <v>0.97499999999999976</v>
      </c>
      <c r="J71" s="9">
        <f t="shared" si="7"/>
        <v>1</v>
      </c>
      <c r="K71" s="22">
        <f t="shared" si="15"/>
        <v>0</v>
      </c>
    </row>
    <row r="72" spans="2:11">
      <c r="B72" s="23" t="str">
        <f t="shared" ref="B72:B79" si="19">B71</f>
        <v>Meta 6</v>
      </c>
      <c r="C72">
        <f>IF('O6'!$B$13="","",'O6'!$B$14)</f>
        <v>0</v>
      </c>
      <c r="D72" s="9">
        <f>IF(B72="","",'O6'!$G$14)</f>
        <v>0</v>
      </c>
      <c r="E72">
        <f>IF(C72="","",'O6'!$D$14)</f>
        <v>0</v>
      </c>
      <c r="F72" s="9">
        <f t="shared" si="18"/>
        <v>1</v>
      </c>
      <c r="G72" s="63" t="str">
        <f>IF(C72="","",HLOOKUP($B$2,'KPI6'!$E$11:$R$41,8,FALSE))</f>
        <v/>
      </c>
      <c r="H72" s="63" t="str">
        <f>IF(C72="","",HLOOKUP($B$2,'KPI6'!$E$11:$R$41,9,FALSE))</f>
        <v/>
      </c>
      <c r="I72" s="21" t="str">
        <f>IF(C72="","",HLOOKUP($B$2,'KPI6'!$E$11:$R$41,10,FALSE))</f>
        <v/>
      </c>
      <c r="J72" s="9">
        <f t="shared" si="7"/>
        <v>0</v>
      </c>
      <c r="K72" s="22">
        <f t="shared" si="15"/>
        <v>0</v>
      </c>
    </row>
    <row r="73" spans="2:11">
      <c r="B73" s="23" t="str">
        <f t="shared" si="19"/>
        <v>Meta 6</v>
      </c>
      <c r="C73" t="str">
        <f>IF('O6'!$B$15="","",'O6'!$B$15)</f>
        <v/>
      </c>
      <c r="D73" s="9">
        <f>IF(B73="","",'O6'!$G$15)</f>
        <v>0</v>
      </c>
      <c r="E73" t="str">
        <f>IF(C73="","",'O6'!$D$15)</f>
        <v/>
      </c>
      <c r="F73" s="9">
        <f t="shared" si="18"/>
        <v>0</v>
      </c>
      <c r="G73" s="63" t="str">
        <f>IF(C73="","",HLOOKUP($B$2,'KPI6'!$E$11:$R$41,11,FALSE))</f>
        <v/>
      </c>
      <c r="H73" s="63" t="str">
        <f>IF(C73="","",HLOOKUP($B$2,'KPI6'!$E$11:$R$41,12,FALSE))</f>
        <v/>
      </c>
      <c r="I73" s="21" t="str">
        <f>IF(C73="","",HLOOKUP($B$2,'KPI6'!$E$11:$R$41,13,FALSE))</f>
        <v/>
      </c>
      <c r="J73" s="9">
        <f t="shared" si="7"/>
        <v>0</v>
      </c>
      <c r="K73" s="22">
        <f t="shared" si="15"/>
        <v>0</v>
      </c>
    </row>
    <row r="74" spans="2:11">
      <c r="B74" s="23" t="str">
        <f t="shared" si="19"/>
        <v>Meta 6</v>
      </c>
      <c r="C74" t="str">
        <f>IF('O6'!$B$16="","",'O6'!$B$16)</f>
        <v/>
      </c>
      <c r="D74" s="9">
        <f>IF(B74="","",'O6'!$G$16)</f>
        <v>0</v>
      </c>
      <c r="E74" t="str">
        <f>IF(C74="","",'O6'!$D$16)</f>
        <v/>
      </c>
      <c r="F74" s="9">
        <f t="shared" si="18"/>
        <v>0</v>
      </c>
      <c r="G74" s="63" t="str">
        <f>IF(C74="","",HLOOKUP($B$2,'KPI6'!$E$11:$R$41,14,FALSE))</f>
        <v/>
      </c>
      <c r="H74" s="63" t="str">
        <f>IF(C74="","",HLOOKUP($B$2,'KPI6'!$E$11:$R$41,15,FALSE))</f>
        <v/>
      </c>
      <c r="I74" s="21" t="str">
        <f>IF(C74="","",HLOOKUP($B$2,'KPI6'!$E$11:$R$41,16,FALSE))</f>
        <v/>
      </c>
      <c r="J74" s="9">
        <f t="shared" si="7"/>
        <v>0</v>
      </c>
      <c r="K74" s="22">
        <f t="shared" si="15"/>
        <v>0</v>
      </c>
    </row>
    <row r="75" spans="2:11">
      <c r="B75" s="23" t="str">
        <f t="shared" si="19"/>
        <v>Meta 6</v>
      </c>
      <c r="C75" t="str">
        <f>IF('O6'!$B$17="","",'O6'!$B$17)</f>
        <v/>
      </c>
      <c r="D75" s="9">
        <f>IF(B75="","",'O6'!$G$17)</f>
        <v>0</v>
      </c>
      <c r="E75" t="str">
        <f>IF(C75="","",'O6'!$D$17)</f>
        <v/>
      </c>
      <c r="F75" s="9">
        <f t="shared" si="18"/>
        <v>0</v>
      </c>
      <c r="G75" s="63" t="str">
        <f>IF(C75="","",HLOOKUP($B$2,'KPI6'!$E$11:$R$41,17,FALSE))</f>
        <v/>
      </c>
      <c r="H75" s="63" t="str">
        <f>IF(C75="","",HLOOKUP($B$2,'KPI6'!$E$11:$R$41,18,FALSE))</f>
        <v/>
      </c>
      <c r="I75" s="21" t="str">
        <f>IF(C75="","",HLOOKUP($B$2,'KPI6'!$E$11:$R$41,19,FALSE))</f>
        <v/>
      </c>
      <c r="J75" s="9">
        <f t="shared" si="7"/>
        <v>0</v>
      </c>
      <c r="K75" s="22">
        <f t="shared" si="15"/>
        <v>0</v>
      </c>
    </row>
    <row r="76" spans="2:11">
      <c r="B76" s="23" t="str">
        <f t="shared" si="19"/>
        <v>Meta 6</v>
      </c>
      <c r="C76" t="str">
        <f>IF('O6'!$B$18="","",'O6'!$B$18)</f>
        <v/>
      </c>
      <c r="D76" s="9">
        <f>IF(B76="","",'O6'!$G$18)</f>
        <v>0</v>
      </c>
      <c r="E76" t="str">
        <f>IF(C76="","",'O6'!$D$18)</f>
        <v/>
      </c>
      <c r="F76" s="9">
        <f t="shared" si="18"/>
        <v>0</v>
      </c>
      <c r="G76" s="63" t="str">
        <f>IF(C76="","",HLOOKUP($B$2,'KPI6'!$E$11:$R$41,20,FALSE))</f>
        <v/>
      </c>
      <c r="H76" s="63" t="str">
        <f>IF(C76="","",HLOOKUP($B$2,'KPI6'!$E$11:$R$41,21,FALSE))</f>
        <v/>
      </c>
      <c r="I76" s="21" t="str">
        <f>IF(C76="","",HLOOKUP($B$2,'KPI6'!$E$11:$R$41,22,FALSE))</f>
        <v/>
      </c>
      <c r="J76" s="9">
        <f t="shared" si="7"/>
        <v>0</v>
      </c>
      <c r="K76" s="22">
        <f t="shared" si="15"/>
        <v>0</v>
      </c>
    </row>
    <row r="77" spans="2:11">
      <c r="B77" s="23" t="str">
        <f t="shared" si="19"/>
        <v>Meta 6</v>
      </c>
      <c r="C77" t="str">
        <f>IF('O6'!$B$19="","",'O6'!$B$19)</f>
        <v/>
      </c>
      <c r="D77" s="9">
        <f>IF(B77="","",'O6'!$G$19)</f>
        <v>0</v>
      </c>
      <c r="E77" t="str">
        <f>IF(C77="","",'O6'!$D$19)</f>
        <v/>
      </c>
      <c r="F77" s="9">
        <f t="shared" si="18"/>
        <v>0</v>
      </c>
      <c r="G77" s="63" t="str">
        <f>IF(C77="","",HLOOKUP($B$2,'KPI6'!$E$11:$R$41,23,FALSE))</f>
        <v/>
      </c>
      <c r="H77" s="63" t="str">
        <f>IF(C77="","",HLOOKUP($B$2,'KPI6'!$E$11:$R$41,24,FALSE))</f>
        <v/>
      </c>
      <c r="I77" s="21" t="str">
        <f>IF(C77="","",HLOOKUP($B$2,'KPI6'!$E$11:$R$41,25,FALSE))</f>
        <v/>
      </c>
      <c r="J77" s="9">
        <f t="shared" si="7"/>
        <v>0</v>
      </c>
      <c r="K77" s="22">
        <f t="shared" si="15"/>
        <v>0</v>
      </c>
    </row>
    <row r="78" spans="2:11">
      <c r="B78" s="23" t="str">
        <f t="shared" si="19"/>
        <v>Meta 6</v>
      </c>
      <c r="C78" t="str">
        <f>IF('O6'!$B$20="","",'O6'!$B$20)</f>
        <v/>
      </c>
      <c r="D78" s="9">
        <f>IF(B78="","",'O6'!$G$20)</f>
        <v>0</v>
      </c>
      <c r="E78" t="str">
        <f>IF(C78="","",'O6'!$D$20)</f>
        <v/>
      </c>
      <c r="F78" s="9">
        <f t="shared" si="18"/>
        <v>0</v>
      </c>
      <c r="G78" s="63" t="str">
        <f>IF(C78="","",HLOOKUP($B$2,'KPI6'!$E$11:$R$41,26,FALSE))</f>
        <v/>
      </c>
      <c r="H78" s="63" t="str">
        <f>IF(C78="","",HLOOKUP($B$2,'KPI6'!$E$11:$R$41,27,FALSE))</f>
        <v/>
      </c>
      <c r="I78" s="21" t="str">
        <f>IF(C78="","",HLOOKUP($B$2,'KPI6'!$E$11:$R$41,28,FALSE))</f>
        <v/>
      </c>
      <c r="J78" s="9">
        <f t="shared" si="7"/>
        <v>0</v>
      </c>
      <c r="K78" s="22">
        <f t="shared" si="15"/>
        <v>0</v>
      </c>
    </row>
    <row r="79" spans="2:11">
      <c r="B79" s="23" t="str">
        <f t="shared" si="19"/>
        <v>Meta 6</v>
      </c>
      <c r="C79" s="14" t="str">
        <f>IF('O6'!$B$21="","",'O6'!$B$21)</f>
        <v/>
      </c>
      <c r="D79" s="13">
        <f>IF(B79="","",'O6'!$G$21)</f>
        <v>0</v>
      </c>
      <c r="E79" s="14" t="str">
        <f>IF(C79="","",'O6'!$D$21)</f>
        <v/>
      </c>
      <c r="F79" s="13">
        <f t="shared" si="18"/>
        <v>0</v>
      </c>
      <c r="G79" s="65" t="str">
        <f>IF(C79="","",HLOOKUP($B$2,'KPI6'!$E$11:$R$41,29,FALSE))</f>
        <v/>
      </c>
      <c r="H79" s="65" t="str">
        <f>IF(C79="","",HLOOKUP($B$2,'KPI6'!$E$11:$R$41,30,FALSE))</f>
        <v/>
      </c>
      <c r="I79" s="15" t="str">
        <f>IF(C79="","",HLOOKUP($B$2,'KPI6'!$E$11:$R$41,31,FALSE))</f>
        <v/>
      </c>
      <c r="J79" s="13">
        <f t="shared" si="7"/>
        <v>0</v>
      </c>
      <c r="K79" s="25">
        <f t="shared" si="15"/>
        <v>0</v>
      </c>
    </row>
    <row r="80" spans="2:11">
      <c r="B80" s="624" t="s">
        <v>109</v>
      </c>
      <c r="C80" s="625"/>
      <c r="D80" s="625"/>
      <c r="E80" s="625"/>
      <c r="F80" s="32">
        <f>SUM(F20:F79)</f>
        <v>14</v>
      </c>
      <c r="G80" s="61">
        <f>IFERROR(AVERAGEIF(G20:G79,"&lt;&gt;"),0)</f>
        <v>1626.26325</v>
      </c>
      <c r="H80" s="61">
        <f>IFERROR(AVERAGEIF(H20:H79,"&lt;&gt;"),0)</f>
        <v>1171.6966666666665</v>
      </c>
      <c r="I80" s="39">
        <f>IFERROR(AVERAGEIF(I20:I79,"&lt;&gt;"),0)</f>
        <v>1.0614782827007025</v>
      </c>
      <c r="J80" s="32">
        <f>SUM(J20:J79)</f>
        <v>7</v>
      </c>
      <c r="K80" s="40">
        <f>SUM(K20:K79)</f>
        <v>3</v>
      </c>
    </row>
    <row r="83" spans="2:6">
      <c r="C83" s="66"/>
    </row>
    <row r="84" spans="2:6">
      <c r="C84" s="66"/>
    </row>
    <row r="85" spans="2:6">
      <c r="C85" s="9" t="s">
        <v>71</v>
      </c>
      <c r="D85" s="9" t="s">
        <v>72</v>
      </c>
    </row>
    <row r="86" spans="2:6" ht="31">
      <c r="B86" s="1" t="str">
        <f>E20</f>
        <v>Dirección/Gerencia General (Alta Dirección)</v>
      </c>
      <c r="C86" s="86">
        <f>IFERROR(AVERAGEIF(D20:D29,"↑",I20:I29),0)</f>
        <v>1.1042345276872965</v>
      </c>
      <c r="D86" s="86">
        <f>IFERROR(AVERAGEIF(D20:D29,"↓",I20:I29),0)</f>
        <v>0</v>
      </c>
      <c r="E86" s="67" t="s">
        <v>123</v>
      </c>
      <c r="F86" s="67" t="s">
        <v>123</v>
      </c>
    </row>
    <row r="87" spans="2:6" ht="31.25" customHeight="1">
      <c r="B87" s="1" t="str">
        <f>E30</f>
        <v>Operaciones / Producción</v>
      </c>
      <c r="C87" s="86">
        <f>IFERROR(AVERAGEIF(D30:D39,"↑",I30:I39),0)</f>
        <v>0</v>
      </c>
      <c r="D87" s="86">
        <f>IFERROR(AVERAGEIF(D30:D39,"↓",I30:I39),0)</f>
        <v>1.2999999999999998</v>
      </c>
      <c r="E87" s="67" t="s">
        <v>123</v>
      </c>
      <c r="F87" s="67" t="s">
        <v>123</v>
      </c>
    </row>
    <row r="88" spans="2:6" ht="31.25" customHeight="1">
      <c r="B88" s="1" t="str">
        <f>E40</f>
        <v>Comercialización (Marketing y Ventas)</v>
      </c>
      <c r="C88" s="86">
        <f>IFERROR(AVERAGEIF(D40:D49,"↑",I40:I49),0)</f>
        <v>1.2157333333333333</v>
      </c>
      <c r="D88" s="86">
        <f>IFERROR(AVERAGEIF(D40:D49,"↓",I40:I49),0)</f>
        <v>0</v>
      </c>
      <c r="E88" s="67" t="s">
        <v>123</v>
      </c>
      <c r="F88" s="67" t="s">
        <v>123</v>
      </c>
    </row>
    <row r="89" spans="2:6" ht="31.25" customHeight="1">
      <c r="B89" s="1" t="str">
        <f>E50</f>
        <v>Administración</v>
      </c>
      <c r="C89" s="86">
        <f>IFERROR(AVERAGEIF(D50:D59,"↑",I50:I59),0)</f>
        <v>0.91666666666666663</v>
      </c>
      <c r="D89" s="86">
        <f>IFERROR(AVERAGEIF(D50:D59,"↓",I50:I59),0)</f>
        <v>1.25</v>
      </c>
      <c r="E89" s="67" t="s">
        <v>123</v>
      </c>
      <c r="F89" s="67" t="s">
        <v>123</v>
      </c>
    </row>
    <row r="90" spans="2:6" ht="31.25" customHeight="1">
      <c r="B90" s="1" t="str">
        <f>E60</f>
        <v>Tecnología / Sistemas / Innovación</v>
      </c>
      <c r="C90" s="86">
        <f>IFERROR(AVERAGEIF(D60:D69,"↑",I60:I69),0)</f>
        <v>0.83768896447467867</v>
      </c>
      <c r="D90" s="86">
        <f>IFERROR(AVERAGEIF(D60:D69,"↓",I60:I69),0)</f>
        <v>0</v>
      </c>
      <c r="E90" s="67" t="s">
        <v>123</v>
      </c>
      <c r="F90" s="67" t="s">
        <v>123</v>
      </c>
    </row>
    <row r="91" spans="2:6" ht="31.25" customHeight="1">
      <c r="B91" s="1" t="str">
        <f>E70</f>
        <v>Recursos Humanos</v>
      </c>
      <c r="C91" s="86">
        <f>IFERROR(AVERAGEIF(D70:D79,"↑",I70:I79),0)</f>
        <v>0.96851851851851833</v>
      </c>
      <c r="D91" s="86">
        <f>IFERROR(AVERAGEIF(D70:D79,"↓",I70:I79),0)</f>
        <v>0</v>
      </c>
      <c r="E91" s="67" t="s">
        <v>123</v>
      </c>
      <c r="F91" s="67" t="s">
        <v>123</v>
      </c>
    </row>
    <row r="92" spans="2:6" ht="31.25" customHeight="1">
      <c r="B92" s="1"/>
      <c r="C92" s="1"/>
      <c r="D92" s="1"/>
      <c r="E92" s="1"/>
      <c r="F92" s="1"/>
    </row>
    <row r="93" spans="2:6" ht="31.25" customHeight="1"/>
    <row r="94" spans="2:6" ht="31.25" customHeight="1"/>
    <row r="95" spans="2:6" ht="31.25" customHeight="1"/>
    <row r="96" spans="2:6" ht="31.25" customHeight="1"/>
    <row r="97" ht="31.25" customHeight="1"/>
  </sheetData>
  <mergeCells count="1">
    <mergeCell ref="B80:E80"/>
  </mergeCells>
  <conditionalFormatting sqref="E86:E91">
    <cfRule type="expression" dxfId="9" priority="1">
      <formula>$C86=0</formula>
    </cfRule>
    <cfRule type="expression" dxfId="8" priority="9">
      <formula>$C86&lt;$D$2</formula>
    </cfRule>
    <cfRule type="expression" dxfId="7" priority="10">
      <formula>$C86&gt;=$D$2</formula>
    </cfRule>
  </conditionalFormatting>
  <conditionalFormatting sqref="F86:F91">
    <cfRule type="expression" dxfId="6" priority="2">
      <formula>$D86=0</formula>
    </cfRule>
    <cfRule type="expression" dxfId="5" priority="7">
      <formula>$D86&gt;$D$2</formula>
    </cfRule>
    <cfRule type="expression" dxfId="4" priority="8">
      <formula>$D86&lt;=$D$2</formula>
    </cfRule>
  </conditionalFormatting>
  <pageMargins left="0.7" right="0.7" top="0.75" bottom="0.75" header="0.3" footer="0.3"/>
  <pageSetup orientation="portrait" r:id="rId1"/>
  <ignoredErrors>
    <ignoredError sqref="B50 B60 B70"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CE4B2-8A3A-4C33-8E18-41DF7E93F715}">
  <dimension ref="B1:K114"/>
  <sheetViews>
    <sheetView showGridLines="0" workbookViewId="0">
      <selection activeCell="O4" sqref="O4"/>
    </sheetView>
  </sheetViews>
  <sheetFormatPr baseColWidth="10" defaultColWidth="8.6640625" defaultRowHeight="15"/>
  <cols>
    <col min="2" max="2" width="36.6640625" customWidth="1"/>
    <col min="3" max="3" width="36.1640625" customWidth="1"/>
    <col min="4" max="4" width="27" customWidth="1"/>
    <col min="5" max="9" width="11.5" customWidth="1"/>
  </cols>
  <sheetData>
    <row r="1" spans="2:11">
      <c r="I1" t="s">
        <v>128</v>
      </c>
    </row>
    <row r="3" spans="2:11">
      <c r="B3" s="33" t="s">
        <v>51</v>
      </c>
      <c r="C3" s="34" t="s">
        <v>55</v>
      </c>
      <c r="D3" s="34" t="s">
        <v>49</v>
      </c>
      <c r="E3" s="32" t="s">
        <v>126</v>
      </c>
      <c r="F3" s="32" t="str">
        <f>Data!K5</f>
        <v>No iniciado</v>
      </c>
      <c r="G3" s="32" t="str">
        <f>Data!K3</f>
        <v>En progreso</v>
      </c>
      <c r="H3" s="32" t="str">
        <f>Data!K2</f>
        <v>Concluido</v>
      </c>
      <c r="I3" s="32" t="str">
        <f>Data!K4</f>
        <v>Atrasado</v>
      </c>
      <c r="J3" s="43" t="s">
        <v>127</v>
      </c>
    </row>
    <row r="4" spans="2:11">
      <c r="B4" s="18" t="str">
        <f>IF(Goals!C12="","",Goals!B12)</f>
        <v>Meta 1</v>
      </c>
      <c r="C4" s="12" t="str">
        <f>IF('O1'!$B$12="","",'O1'!$B$12)</f>
        <v>Abrir 2 nuevas sucursales en ciudades turísticas del país antes de julio de 2026.</v>
      </c>
      <c r="D4" s="12" t="str">
        <f>IF('O1'!$B12="","",'O1'!$D12)</f>
        <v>Dirección/Gerencia General (Alta Dirección)</v>
      </c>
      <c r="E4" s="9">
        <f>IF(C4="",0,COUNTIF('AP1'!$D$12:$E$111,AuxPlan!C4))</f>
        <v>1</v>
      </c>
      <c r="F4" s="9">
        <f>COUNTIFS('AP1'!$K$12:$K$111,Data!$K$5,'AP1'!$D$12:$D$111,AuxPlan!$C4)</f>
        <v>0</v>
      </c>
      <c r="G4" s="9">
        <f>COUNTIFS('AP1'!$K$12:$K$111,Data!$K$3,'AP1'!$D$12:$D$111,AuxPlan!$C4)</f>
        <v>1</v>
      </c>
      <c r="H4" s="9">
        <f>COUNTIFS('AP1'!$K$12:$K$111,Data!$K$2,'AP1'!$D$12:$D$111,AuxPlan!$C4)</f>
        <v>0</v>
      </c>
      <c r="I4" s="78">
        <f ca="1">COUNTIFS('AP1'!$L$12:$L$111,$I$1,'AP1'!$D$12:$D$111,AuxPlan!$C4)</f>
        <v>0</v>
      </c>
      <c r="J4" s="75">
        <f ca="1">IFERROR(AVERAGEIF('AP1'!$D$12:$E$111,C4,'AP1'!$J$12:$J$1011),"")</f>
        <v>0.2</v>
      </c>
      <c r="K4" t="str">
        <f>IFERROR(VLOOKUP(C4,'AP1'!$D$12:$E$111,1,),0)</f>
        <v>Abrir 2 nuevas sucursales en ciudades turísticas del país antes de julio de 2026.</v>
      </c>
    </row>
    <row r="5" spans="2:11">
      <c r="B5" s="23" t="str">
        <f>B4</f>
        <v>Meta 1</v>
      </c>
      <c r="C5" t="str">
        <f>IF('O1'!$B$13="","",'O1'!$B$13)</f>
        <v/>
      </c>
      <c r="D5" t="str">
        <f>IF('O1'!$B13="","",'O1'!$D13)</f>
        <v/>
      </c>
      <c r="E5" s="9">
        <f>IF(C5="",0,COUNTIF('AP1'!$D$12:$E$111,AuxPlan!C5))</f>
        <v>0</v>
      </c>
      <c r="F5" s="9">
        <f>COUNTIFS('AP1'!$K$12:$K$111,Data!$K$5,'AP1'!$D$12:$D$111,AuxPlan!$C5)</f>
        <v>0</v>
      </c>
      <c r="G5" s="9">
        <f>COUNTIFS('AP1'!$K$12:$K$111,Data!$K$3,'AP1'!$D$12:$D$111,AuxPlan!$C5)</f>
        <v>0</v>
      </c>
      <c r="H5" s="9">
        <f>COUNTIFS('AP1'!$K$12:$K$111,Data!$K$2,'AP1'!$D$12:$D$111,AuxPlan!$C5)</f>
        <v>0</v>
      </c>
      <c r="I5" s="78">
        <f ca="1">COUNTIFS('AP1'!$L$12:$L$111,$I$1,'AP1'!$D$12:$D$111,AuxPlan!$C5)</f>
        <v>0</v>
      </c>
      <c r="J5" s="75" t="str">
        <f ca="1">IFERROR(AVERAGEIF('AP1'!$D$12:$E$111,C5,'AP1'!$J$12:$J$1011),"")</f>
        <v/>
      </c>
      <c r="K5">
        <f>IFERROR(VLOOKUP(C5,'AP1'!$D$12:$E$111,1,),0)</f>
        <v>0</v>
      </c>
    </row>
    <row r="6" spans="2:11">
      <c r="B6" s="23" t="str">
        <f t="shared" ref="B6:B13" si="0">B5</f>
        <v>Meta 1</v>
      </c>
      <c r="C6" t="str">
        <f>IF('O1'!$B$14="","",'O1'!$B$14)</f>
        <v/>
      </c>
      <c r="D6" t="str">
        <f>IF('O1'!$B14="","",'O1'!$D14)</f>
        <v/>
      </c>
      <c r="E6" s="9">
        <f>IF(C6="",0,COUNTIF('AP1'!$D$12:$E$111,AuxPlan!C6))</f>
        <v>0</v>
      </c>
      <c r="F6" s="9">
        <f>COUNTIFS('AP1'!$K$12:$K$111,Data!$K$5,'AP1'!$D$12:$D$111,AuxPlan!$C6)</f>
        <v>0</v>
      </c>
      <c r="G6" s="9">
        <f>COUNTIFS('AP1'!$K$12:$K$111,Data!$K$3,'AP1'!$D$12:$D$111,AuxPlan!$C6)</f>
        <v>0</v>
      </c>
      <c r="H6" s="9">
        <f>COUNTIFS('AP1'!$K$12:$K$111,Data!$K$2,'AP1'!$D$12:$D$111,AuxPlan!$C6)</f>
        <v>0</v>
      </c>
      <c r="I6" s="78">
        <f ca="1">COUNTIFS('AP1'!$L$12:$L$111,$I$1,'AP1'!$D$12:$D$111,AuxPlan!$C6)</f>
        <v>0</v>
      </c>
      <c r="J6" s="75" t="str">
        <f ca="1">IFERROR(AVERAGEIF('AP1'!$D$12:$E$111,C6,'AP1'!$J$12:$J$1011),"")</f>
        <v/>
      </c>
      <c r="K6">
        <f>IFERROR(VLOOKUP(C6,'AP1'!$D$12:$E$111,1,),0)</f>
        <v>0</v>
      </c>
    </row>
    <row r="7" spans="2:11">
      <c r="B7" s="23" t="str">
        <f t="shared" si="0"/>
        <v>Meta 1</v>
      </c>
      <c r="C7" t="str">
        <f>IF('O1'!$B$15="","",'O1'!$B$15)</f>
        <v/>
      </c>
      <c r="D7" t="str">
        <f>IF('O1'!$B15="","",'O1'!$D15)</f>
        <v/>
      </c>
      <c r="E7" s="9">
        <f>IF(C7="",0,COUNTIF('AP1'!$D$12:$E$111,AuxPlan!C7))</f>
        <v>0</v>
      </c>
      <c r="F7" s="9">
        <f>COUNTIFS('AP1'!$K$12:$K$111,Data!$K$5,'AP1'!$D$12:$D$111,AuxPlan!$C7)</f>
        <v>0</v>
      </c>
      <c r="G7" s="9">
        <f>COUNTIFS('AP1'!$K$12:$K$111,Data!$K$3,'AP1'!$D$12:$D$111,AuxPlan!$C7)</f>
        <v>0</v>
      </c>
      <c r="H7" s="9">
        <f>COUNTIFS('AP1'!$K$12:$K$111,Data!$K$2,'AP1'!$D$12:$D$111,AuxPlan!$C7)</f>
        <v>0</v>
      </c>
      <c r="I7" s="78">
        <f ca="1">COUNTIFS('AP1'!$L$12:$L$111,$I$1,'AP1'!$D$12:$D$111,AuxPlan!$C7)</f>
        <v>0</v>
      </c>
      <c r="J7" s="75" t="str">
        <f ca="1">IFERROR(AVERAGEIF('AP1'!$D$12:$E$111,C7,'AP1'!$J$12:$J$1011),"")</f>
        <v/>
      </c>
      <c r="K7">
        <f>IFERROR(VLOOKUP(C7,'AP1'!$D$12:$E$111,1,),0)</f>
        <v>0</v>
      </c>
    </row>
    <row r="8" spans="2:11">
      <c r="B8" s="23" t="str">
        <f t="shared" si="0"/>
        <v>Meta 1</v>
      </c>
      <c r="C8" t="str">
        <f>IF('O1'!$B$16="","",'O1'!$B$16)</f>
        <v/>
      </c>
      <c r="D8" t="str">
        <f>IF('O1'!$B16="","",'O1'!$D16)</f>
        <v/>
      </c>
      <c r="E8" s="9">
        <f>IF(C8="",0,COUNTIF('AP1'!$D$12:$E$111,AuxPlan!C8))</f>
        <v>0</v>
      </c>
      <c r="F8" s="9">
        <f>COUNTIFS('AP1'!$K$12:$K$111,Data!$K$5,'AP1'!$D$12:$D$111,AuxPlan!$C8)</f>
        <v>0</v>
      </c>
      <c r="G8" s="9">
        <f>COUNTIFS('AP1'!$K$12:$K$111,Data!$K$3,'AP1'!$D$12:$D$111,AuxPlan!$C8)</f>
        <v>0</v>
      </c>
      <c r="H8" s="9">
        <f>COUNTIFS('AP1'!$K$12:$K$111,Data!$K$2,'AP1'!$D$12:$D$111,AuxPlan!$C8)</f>
        <v>0</v>
      </c>
      <c r="I8" s="78">
        <f ca="1">COUNTIFS('AP1'!$L$12:$L$111,$I$1,'AP1'!$D$12:$D$111,AuxPlan!$C8)</f>
        <v>0</v>
      </c>
      <c r="J8" s="75" t="str">
        <f ca="1">IFERROR(AVERAGEIF('AP1'!$D$12:$E$111,C8,'AP1'!$J$12:$J$1011),"")</f>
        <v/>
      </c>
      <c r="K8">
        <f>IFERROR(VLOOKUP(C8,'AP1'!$D$12:$E$111,1,),0)</f>
        <v>0</v>
      </c>
    </row>
    <row r="9" spans="2:11">
      <c r="B9" s="23" t="str">
        <f t="shared" si="0"/>
        <v>Meta 1</v>
      </c>
      <c r="C9" t="str">
        <f>IF('O1'!$B$17="","",'O1'!$B$17)</f>
        <v/>
      </c>
      <c r="D9" t="str">
        <f>IF('O1'!$B17="","",'O1'!$D17)</f>
        <v/>
      </c>
      <c r="E9" s="9">
        <f>IF(C9="",0,COUNTIF('AP1'!$D$12:$E$111,AuxPlan!C9))</f>
        <v>0</v>
      </c>
      <c r="F9" s="9">
        <f>COUNTIFS('AP1'!$K$12:$K$111,Data!$K$5,'AP1'!$D$12:$D$111,AuxPlan!$C9)</f>
        <v>0</v>
      </c>
      <c r="G9" s="9">
        <f>COUNTIFS('AP1'!$K$12:$K$111,Data!$K$3,'AP1'!$D$12:$D$111,AuxPlan!$C9)</f>
        <v>0</v>
      </c>
      <c r="H9" s="9">
        <f>COUNTIFS('AP1'!$K$12:$K$111,Data!$K$2,'AP1'!$D$12:$D$111,AuxPlan!$C9)</f>
        <v>0</v>
      </c>
      <c r="I9" s="78">
        <f ca="1">COUNTIFS('AP1'!$L$12:$L$111,$I$1,'AP1'!$D$12:$D$111,AuxPlan!$C9)</f>
        <v>0</v>
      </c>
      <c r="J9" s="75" t="str">
        <f ca="1">IFERROR(AVERAGEIF('AP1'!$D$12:$E$111,C9,'AP1'!$J$12:$J$1011),"")</f>
        <v/>
      </c>
      <c r="K9">
        <f>IFERROR(VLOOKUP(C9,'AP1'!$D$12:$E$111,1,),0)</f>
        <v>0</v>
      </c>
    </row>
    <row r="10" spans="2:11">
      <c r="B10" s="23" t="str">
        <f t="shared" si="0"/>
        <v>Meta 1</v>
      </c>
      <c r="C10" t="str">
        <f>IF('O1'!$B$18="","",'O1'!$B$18)</f>
        <v/>
      </c>
      <c r="D10" t="str">
        <f>IF('O1'!$B18="","",'O1'!$D18)</f>
        <v/>
      </c>
      <c r="E10" s="9">
        <f>IF(C10="",0,COUNTIF('AP1'!$D$12:$E$111,AuxPlan!C10))</f>
        <v>0</v>
      </c>
      <c r="F10" s="9">
        <f>COUNTIFS('AP1'!$K$12:$K$111,Data!$K$5,'AP1'!$D$12:$D$111,AuxPlan!$C10)</f>
        <v>0</v>
      </c>
      <c r="G10" s="9">
        <f>COUNTIFS('AP1'!$K$12:$K$111,Data!$K$3,'AP1'!$D$12:$D$111,AuxPlan!$C10)</f>
        <v>0</v>
      </c>
      <c r="H10" s="9">
        <f>COUNTIFS('AP1'!$K$12:$K$111,Data!$K$2,'AP1'!$D$12:$D$111,AuxPlan!$C10)</f>
        <v>0</v>
      </c>
      <c r="I10" s="78">
        <f ca="1">COUNTIFS('AP1'!$L$12:$L$111,$I$1,'AP1'!$D$12:$D$111,AuxPlan!$C10)</f>
        <v>0</v>
      </c>
      <c r="J10" s="75" t="str">
        <f ca="1">IFERROR(AVERAGEIF('AP1'!$D$12:$E$111,C10,'AP1'!$J$12:$J$1011),"")</f>
        <v/>
      </c>
      <c r="K10">
        <f>IFERROR(VLOOKUP(C10,'AP1'!$D$12:$E$111,1,),0)</f>
        <v>0</v>
      </c>
    </row>
    <row r="11" spans="2:11">
      <c r="B11" s="23" t="str">
        <f t="shared" si="0"/>
        <v>Meta 1</v>
      </c>
      <c r="C11" t="str">
        <f>IF('O1'!$B$19="","",'O1'!$B$19)</f>
        <v/>
      </c>
      <c r="D11" t="str">
        <f>IF('O1'!$B19="","",'O1'!$D19)</f>
        <v/>
      </c>
      <c r="E11" s="9">
        <f>IF(C11="",0,COUNTIF('AP1'!$D$12:$E$111,AuxPlan!C11))</f>
        <v>0</v>
      </c>
      <c r="F11" s="9">
        <f>COUNTIFS('AP1'!$K$12:$K$111,Data!$K$5,'AP1'!$D$12:$D$111,AuxPlan!$C11)</f>
        <v>0</v>
      </c>
      <c r="G11" s="9">
        <f>COUNTIFS('AP1'!$K$12:$K$111,Data!$K$3,'AP1'!$D$12:$D$111,AuxPlan!$C11)</f>
        <v>0</v>
      </c>
      <c r="H11" s="9">
        <f>COUNTIFS('AP1'!$K$12:$K$111,Data!$K$2,'AP1'!$D$12:$D$111,AuxPlan!$C11)</f>
        <v>0</v>
      </c>
      <c r="I11" s="78">
        <f ca="1">COUNTIFS('AP1'!$L$12:$L$111,$I$1,'AP1'!$D$12:$D$111,AuxPlan!$C11)</f>
        <v>0</v>
      </c>
      <c r="J11" s="75" t="str">
        <f ca="1">IFERROR(AVERAGEIF('AP1'!$D$12:$E$111,C11,'AP1'!$J$12:$J$1011),"")</f>
        <v/>
      </c>
      <c r="K11">
        <f>IFERROR(VLOOKUP(C11,'AP1'!$D$12:$E$111,1,),0)</f>
        <v>0</v>
      </c>
    </row>
    <row r="12" spans="2:11">
      <c r="B12" s="23" t="str">
        <f t="shared" si="0"/>
        <v>Meta 1</v>
      </c>
      <c r="C12" t="str">
        <f>IF('O1'!$B$20="","",'O1'!$B$20)</f>
        <v/>
      </c>
      <c r="D12" t="str">
        <f>IF('O1'!$B20="","",'O1'!$D20)</f>
        <v/>
      </c>
      <c r="E12" s="9">
        <f>IF(C12="",0,COUNTIF('AP1'!$D$12:$E$111,AuxPlan!C12))</f>
        <v>0</v>
      </c>
      <c r="F12" s="9">
        <f>COUNTIFS('AP1'!$K$12:$K$111,Data!$K$5,'AP1'!$D$12:$D$111,AuxPlan!$C12)</f>
        <v>0</v>
      </c>
      <c r="G12" s="9">
        <f>COUNTIFS('AP1'!$K$12:$K$111,Data!$K$3,'AP1'!$D$12:$D$111,AuxPlan!$C12)</f>
        <v>0</v>
      </c>
      <c r="H12" s="9">
        <f>COUNTIFS('AP1'!$K$12:$K$111,Data!$K$2,'AP1'!$D$12:$D$111,AuxPlan!$C12)</f>
        <v>0</v>
      </c>
      <c r="I12" s="78">
        <f ca="1">COUNTIFS('AP1'!$L$12:$L$111,$I$1,'AP1'!$D$12:$D$111,AuxPlan!$C12)</f>
        <v>0</v>
      </c>
      <c r="J12" s="75" t="str">
        <f ca="1">IFERROR(AVERAGEIF('AP1'!$D$12:$E$111,C12,'AP1'!$J$12:$J$1011),"")</f>
        <v/>
      </c>
      <c r="K12">
        <f>IFERROR(VLOOKUP(C12,'AP1'!$D$12:$E$111,1,),0)</f>
        <v>0</v>
      </c>
    </row>
    <row r="13" spans="2:11">
      <c r="B13" s="23" t="str">
        <f t="shared" si="0"/>
        <v>Meta 1</v>
      </c>
      <c r="C13" s="14" t="str">
        <f>IF('O1'!$B$21="","",'O1'!$B$21)</f>
        <v/>
      </c>
      <c r="D13" s="14" t="str">
        <f>IF('O1'!$B21="","",'O1'!$D21)</f>
        <v/>
      </c>
      <c r="E13" s="13">
        <f>IF(C13="",0,COUNTIF('AP1'!$D$12:$E$111,AuxPlan!C13))</f>
        <v>0</v>
      </c>
      <c r="F13" s="13">
        <f>COUNTIFS('AP1'!$K$12:$K$111,Data!$K$5,'AP1'!$D$12:$D$111,AuxPlan!$C13)</f>
        <v>0</v>
      </c>
      <c r="G13" s="13">
        <f>COUNTIFS('AP1'!$K$12:$K$111,Data!$K$3,'AP1'!$D$12:$D$111,AuxPlan!$C13)</f>
        <v>0</v>
      </c>
      <c r="H13" s="13">
        <f>COUNTIFS('AP1'!$K$12:$K$111,Data!$K$2,'AP1'!$D$12:$D$111,AuxPlan!$C13)</f>
        <v>0</v>
      </c>
      <c r="I13" s="79">
        <f ca="1">COUNTIFS('AP1'!$L$12:$L$111,$I$1,'AP1'!$D$12:$D$111,AuxPlan!$C13)</f>
        <v>0</v>
      </c>
      <c r="J13" s="75" t="str">
        <f ca="1">IFERROR(AVERAGEIF('AP1'!$D$12:$E$111,C13,'AP1'!$J$12:$J$1011),"")</f>
        <v/>
      </c>
      <c r="K13">
        <f>IFERROR(VLOOKUP(C13,'AP1'!$D$12:$E$111,1,),0)</f>
        <v>0</v>
      </c>
    </row>
    <row r="14" spans="2:11">
      <c r="B14" s="18" t="str">
        <f>IF(Goals!C13="","",Goals!B13)</f>
        <v>Meta 2</v>
      </c>
      <c r="C14" s="12" t="str">
        <f>IF('O2'!$B$12="","",'O2'!$B$12)</f>
        <v>Reducir en 15% los tiempos de producción promedio por lote para diciembre 2025.</v>
      </c>
      <c r="D14" s="12" t="str">
        <f>IF('O2'!$B12="","",'O2'!$D12)</f>
        <v>Operaciones / Producción</v>
      </c>
      <c r="E14" s="9">
        <f>IF(C14="",0,COUNTIF('AP2'!$D$12:$E$111,AuxPlan!C14))</f>
        <v>1</v>
      </c>
      <c r="F14" s="68">
        <f>COUNTIFS('AP2'!$K$12:$K$111,Data!$K$5,'AP2'!$D$12:$D$111,AuxPlan!$C14)</f>
        <v>1</v>
      </c>
      <c r="G14" s="68">
        <f>COUNTIFS('AP2'!$K$12:$K$111,Data!$K$3,'AP2'!$D$12:$D$111,AuxPlan!$C14)</f>
        <v>0</v>
      </c>
      <c r="H14" s="68">
        <f>COUNTIFS('AP2'!$K$12:$K$111,Data!$K$2,'AP2'!$D$12:$D$111,AuxPlan!$C14)</f>
        <v>0</v>
      </c>
      <c r="I14" s="80">
        <f ca="1">COUNTIFS('AP2'!$L$12:$L$111,$I$1,'AP2'!$D$12:$D$111,AuxPlan!$C14)</f>
        <v>0</v>
      </c>
      <c r="J14" s="77">
        <f ca="1">IFERROR(AVERAGEIF('AP2'!$D$12:$E$111,C14,'AP2'!$J$12:$J$1011),"")</f>
        <v>0</v>
      </c>
      <c r="K14" t="str">
        <f>IFERROR(VLOOKUP(C14,'AP2'!$D$12:$E$111,1,),0)</f>
        <v>Reducir en 15% los tiempos de producción promedio por lote para diciembre 2025.</v>
      </c>
    </row>
    <row r="15" spans="2:11">
      <c r="B15" s="23" t="str">
        <f>B14</f>
        <v>Meta 2</v>
      </c>
      <c r="C15" t="str">
        <f>IF('O2'!$B$13="","",'O2'!$B$13)</f>
        <v/>
      </c>
      <c r="D15" t="str">
        <f>IF('O2'!$B13="","",'O2'!$D13)</f>
        <v/>
      </c>
      <c r="E15" s="9">
        <f>IF(C15="",0,COUNTIF('AP2'!$D$12:$E$111,AuxPlan!C15))</f>
        <v>0</v>
      </c>
      <c r="F15" s="9">
        <f>COUNTIFS('AP2'!$K$12:$K$111,Data!$K$5,'AP2'!$D$12:$D$111,AuxPlan!$C15)</f>
        <v>0</v>
      </c>
      <c r="G15" s="9">
        <f>COUNTIFS('AP2'!$K$12:$K$111,Data!$K$3,'AP2'!$D$12:$D$111,AuxPlan!$C15)</f>
        <v>0</v>
      </c>
      <c r="H15" s="9">
        <f>COUNTIFS('AP2'!$K$12:$K$111,Data!$K$2,'AP2'!$D$12:$D$111,AuxPlan!$C15)</f>
        <v>0</v>
      </c>
      <c r="I15" s="78">
        <f ca="1">COUNTIFS('AP2'!$L$12:$L$111,$I$1,'AP2'!$D$12:$D$111,AuxPlan!$C15)</f>
        <v>0</v>
      </c>
      <c r="J15" s="75" t="str">
        <f ca="1">IFERROR(AVERAGEIF('AP2'!$D$12:$E$111,C15,'AP2'!$J$12:$J$1011),"")</f>
        <v/>
      </c>
      <c r="K15">
        <f>IFERROR(VLOOKUP(C15,'AP2'!$D$12:$E$111,1,),0)</f>
        <v>0</v>
      </c>
    </row>
    <row r="16" spans="2:11">
      <c r="B16" s="23" t="str">
        <f t="shared" ref="B16:B23" si="1">B15</f>
        <v>Meta 2</v>
      </c>
      <c r="C16" t="str">
        <f>IF('O2'!$B$13="","",'O2'!$B$14)</f>
        <v/>
      </c>
      <c r="D16" t="str">
        <f>IF('O2'!$B14="","",'O2'!$D14)</f>
        <v/>
      </c>
      <c r="E16" s="9">
        <f>IF(C16="",0,COUNTIF('AP2'!$D$12:$E$111,AuxPlan!C16))</f>
        <v>0</v>
      </c>
      <c r="F16" s="9">
        <f>COUNTIFS('AP2'!$K$12:$K$111,Data!$K$5,'AP2'!$D$12:$D$111,AuxPlan!$C16)</f>
        <v>0</v>
      </c>
      <c r="G16" s="9">
        <f>COUNTIFS('AP2'!$K$12:$K$111,Data!$K$3,'AP2'!$D$12:$D$111,AuxPlan!$C16)</f>
        <v>0</v>
      </c>
      <c r="H16" s="9">
        <f>COUNTIFS('AP2'!$K$12:$K$111,Data!$K$2,'AP2'!$D$12:$D$111,AuxPlan!$C16)</f>
        <v>0</v>
      </c>
      <c r="I16" s="78">
        <f ca="1">COUNTIFS('AP2'!$L$12:$L$111,$I$1,'AP2'!$D$12:$D$111,AuxPlan!$C16)</f>
        <v>0</v>
      </c>
      <c r="J16" s="75" t="str">
        <f ca="1">IFERROR(AVERAGEIF('AP2'!$D$12:$E$111,C16,'AP2'!$J$12:$J$1011),"")</f>
        <v/>
      </c>
      <c r="K16">
        <f>IFERROR(VLOOKUP(C16,'AP2'!$D$12:$E$111,1,),0)</f>
        <v>0</v>
      </c>
    </row>
    <row r="17" spans="2:11">
      <c r="B17" s="23" t="str">
        <f t="shared" si="1"/>
        <v>Meta 2</v>
      </c>
      <c r="C17" t="str">
        <f>IF('O2'!$B$15="","",'O2'!$B$15)</f>
        <v/>
      </c>
      <c r="D17" t="str">
        <f>IF('O2'!$B15="","",'O2'!$D15)</f>
        <v/>
      </c>
      <c r="E17" s="9">
        <f>IF(C17="",0,COUNTIF('AP2'!$D$12:$E$111,AuxPlan!C17))</f>
        <v>0</v>
      </c>
      <c r="F17" s="9">
        <f>COUNTIFS('AP2'!$K$12:$K$111,Data!$K$5,'AP2'!$D$12:$D$111,AuxPlan!$C17)</f>
        <v>0</v>
      </c>
      <c r="G17" s="9">
        <f>COUNTIFS('AP2'!$K$12:$K$111,Data!$K$3,'AP2'!$D$12:$D$111,AuxPlan!$C17)</f>
        <v>0</v>
      </c>
      <c r="H17" s="9">
        <f>COUNTIFS('AP2'!$K$12:$K$111,Data!$K$2,'AP2'!$D$12:$D$111,AuxPlan!$C17)</f>
        <v>0</v>
      </c>
      <c r="I17" s="78">
        <f ca="1">COUNTIFS('AP2'!$L$12:$L$111,$I$1,'AP2'!$D$12:$D$111,AuxPlan!$C17)</f>
        <v>0</v>
      </c>
      <c r="J17" s="75" t="str">
        <f ca="1">IFERROR(AVERAGEIF('AP2'!$D$12:$E$111,C17,'AP2'!$J$12:$J$1011),"")</f>
        <v/>
      </c>
      <c r="K17">
        <f>IFERROR(VLOOKUP(C17,'AP2'!$D$12:$E$111,1,),0)</f>
        <v>0</v>
      </c>
    </row>
    <row r="18" spans="2:11">
      <c r="B18" s="23" t="str">
        <f t="shared" si="1"/>
        <v>Meta 2</v>
      </c>
      <c r="C18" t="str">
        <f>IF('O2'!$B$16="","",'O2'!$B$16)</f>
        <v/>
      </c>
      <c r="D18" t="str">
        <f>IF('O2'!$B16="","",'O2'!$D16)</f>
        <v/>
      </c>
      <c r="E18" s="9">
        <f>IF(C18="",0,COUNTIF('AP2'!$D$12:$E$111,AuxPlan!C18))</f>
        <v>0</v>
      </c>
      <c r="F18" s="9">
        <f>COUNTIFS('AP2'!$K$12:$K$111,Data!$K$5,'AP2'!$D$12:$D$111,AuxPlan!$C18)</f>
        <v>0</v>
      </c>
      <c r="G18" s="9">
        <f>COUNTIFS('AP2'!$K$12:$K$111,Data!$K$3,'AP2'!$D$12:$D$111,AuxPlan!$C18)</f>
        <v>0</v>
      </c>
      <c r="H18" s="9">
        <f>COUNTIFS('AP2'!$K$12:$K$111,Data!$K$2,'AP2'!$D$12:$D$111,AuxPlan!$C18)</f>
        <v>0</v>
      </c>
      <c r="I18" s="78">
        <f ca="1">COUNTIFS('AP2'!$L$12:$L$111,$I$1,'AP2'!$D$12:$D$111,AuxPlan!$C18)</f>
        <v>0</v>
      </c>
      <c r="J18" s="75" t="str">
        <f ca="1">IFERROR(AVERAGEIF('AP2'!$D$12:$E$111,C18,'AP2'!$J$12:$J$1011),"")</f>
        <v/>
      </c>
      <c r="K18">
        <f>IFERROR(VLOOKUP(C18,'AP2'!$D$12:$E$111,1,),0)</f>
        <v>0</v>
      </c>
    </row>
    <row r="19" spans="2:11">
      <c r="B19" s="23" t="str">
        <f t="shared" si="1"/>
        <v>Meta 2</v>
      </c>
      <c r="C19" t="str">
        <f>IF('O2'!$B$17="","",'O2'!$B$17)</f>
        <v/>
      </c>
      <c r="D19" t="str">
        <f>IF('O2'!$B17="","",'O2'!$D17)</f>
        <v/>
      </c>
      <c r="E19" s="9">
        <f>IF(C19="",0,COUNTIF('AP2'!$D$12:$E$111,AuxPlan!C19))</f>
        <v>0</v>
      </c>
      <c r="F19" s="9">
        <f>COUNTIFS('AP2'!$K$12:$K$111,Data!$K$5,'AP2'!$D$12:$D$111,AuxPlan!$C19)</f>
        <v>0</v>
      </c>
      <c r="G19" s="9">
        <f>COUNTIFS('AP2'!$K$12:$K$111,Data!$K$3,'AP2'!$D$12:$D$111,AuxPlan!$C19)</f>
        <v>0</v>
      </c>
      <c r="H19" s="9">
        <f>COUNTIFS('AP2'!$K$12:$K$111,Data!$K$2,'AP2'!$D$12:$D$111,AuxPlan!$C19)</f>
        <v>0</v>
      </c>
      <c r="I19" s="78">
        <f ca="1">COUNTIFS('AP2'!$L$12:$L$111,$I$1,'AP2'!$D$12:$D$111,AuxPlan!$C19)</f>
        <v>0</v>
      </c>
      <c r="J19" s="75" t="str">
        <f ca="1">IFERROR(AVERAGEIF('AP2'!$D$12:$E$111,C19,'AP2'!$J$12:$J$1011),"")</f>
        <v/>
      </c>
      <c r="K19">
        <f>IFERROR(VLOOKUP(C19,'AP2'!$D$12:$E$111,1,),0)</f>
        <v>0</v>
      </c>
    </row>
    <row r="20" spans="2:11">
      <c r="B20" s="23" t="str">
        <f t="shared" si="1"/>
        <v>Meta 2</v>
      </c>
      <c r="C20" t="str">
        <f>IF('O2'!$B$18="","",'O2'!$B$18)</f>
        <v/>
      </c>
      <c r="D20" t="str">
        <f>IF('O2'!$B18="","",'O2'!$D18)</f>
        <v/>
      </c>
      <c r="E20" s="9">
        <f>IF(C20="",0,COUNTIF('AP2'!$D$12:$E$111,AuxPlan!C20))</f>
        <v>0</v>
      </c>
      <c r="F20" s="9">
        <f>COUNTIFS('AP2'!$K$12:$K$111,Data!$K$5,'AP2'!$D$12:$D$111,AuxPlan!$C20)</f>
        <v>0</v>
      </c>
      <c r="G20" s="9">
        <f>COUNTIFS('AP2'!$K$12:$K$111,Data!$K$3,'AP2'!$D$12:$D$111,AuxPlan!$C20)</f>
        <v>0</v>
      </c>
      <c r="H20" s="9">
        <f>COUNTIFS('AP2'!$K$12:$K$111,Data!$K$2,'AP2'!$D$12:$D$111,AuxPlan!$C20)</f>
        <v>0</v>
      </c>
      <c r="I20" s="78">
        <f ca="1">COUNTIFS('AP2'!$L$12:$L$111,$I$1,'AP2'!$D$12:$D$111,AuxPlan!$C20)</f>
        <v>0</v>
      </c>
      <c r="J20" s="75" t="str">
        <f ca="1">IFERROR(AVERAGEIF('AP2'!$D$12:$E$111,C20,'AP2'!$J$12:$J$1011),"")</f>
        <v/>
      </c>
      <c r="K20">
        <f>IFERROR(VLOOKUP(C20,'AP2'!$D$12:$E$111,1,),0)</f>
        <v>0</v>
      </c>
    </row>
    <row r="21" spans="2:11">
      <c r="B21" s="23" t="str">
        <f t="shared" si="1"/>
        <v>Meta 2</v>
      </c>
      <c r="C21" t="str">
        <f>IF('O2'!$B$19="","",'O2'!$B$19)</f>
        <v/>
      </c>
      <c r="D21" t="str">
        <f>IF('O2'!$B19="","",'O2'!$D19)</f>
        <v/>
      </c>
      <c r="E21" s="9">
        <f>IF(C21="",0,COUNTIF('AP2'!$D$12:$E$111,AuxPlan!C21))</f>
        <v>0</v>
      </c>
      <c r="F21" s="9">
        <f>COUNTIFS('AP2'!$K$12:$K$111,Data!$K$5,'AP2'!$D$12:$D$111,AuxPlan!$C21)</f>
        <v>0</v>
      </c>
      <c r="G21" s="9">
        <f>COUNTIFS('AP2'!$K$12:$K$111,Data!$K$3,'AP2'!$D$12:$D$111,AuxPlan!$C21)</f>
        <v>0</v>
      </c>
      <c r="H21" s="9">
        <f>COUNTIFS('AP2'!$K$12:$K$111,Data!$K$2,'AP2'!$D$12:$D$111,AuxPlan!$C21)</f>
        <v>0</v>
      </c>
      <c r="I21" s="78">
        <f ca="1">COUNTIFS('AP2'!$L$12:$L$111,$I$1,'AP2'!$D$12:$D$111,AuxPlan!$C21)</f>
        <v>0</v>
      </c>
      <c r="J21" s="75" t="str">
        <f ca="1">IFERROR(AVERAGEIF('AP2'!$D$12:$E$111,C21,'AP2'!$J$12:$J$1011),"")</f>
        <v/>
      </c>
      <c r="K21">
        <f>IFERROR(VLOOKUP(C21,'AP2'!$D$12:$E$111,1,),0)</f>
        <v>0</v>
      </c>
    </row>
    <row r="22" spans="2:11">
      <c r="B22" s="23" t="str">
        <f t="shared" si="1"/>
        <v>Meta 2</v>
      </c>
      <c r="C22" t="str">
        <f>IF('O2'!$B$20="","",'O2'!$B$20)</f>
        <v/>
      </c>
      <c r="D22" t="str">
        <f>IF('O2'!$B20="","",'O2'!$D20)</f>
        <v/>
      </c>
      <c r="E22" s="9">
        <f>IF(C22="",0,COUNTIF('AP2'!$D$12:$E$111,AuxPlan!C22))</f>
        <v>0</v>
      </c>
      <c r="F22" s="9">
        <f>COUNTIFS('AP2'!$K$12:$K$111,Data!$K$5,'AP2'!$D$12:$D$111,AuxPlan!$C22)</f>
        <v>0</v>
      </c>
      <c r="G22" s="9">
        <f>COUNTIFS('AP2'!$K$12:$K$111,Data!$K$3,'AP2'!$D$12:$D$111,AuxPlan!$C22)</f>
        <v>0</v>
      </c>
      <c r="H22" s="9">
        <f>COUNTIFS('AP2'!$K$12:$K$111,Data!$K$2,'AP2'!$D$12:$D$111,AuxPlan!$C22)</f>
        <v>0</v>
      </c>
      <c r="I22" s="78">
        <f ca="1">COUNTIFS('AP2'!$L$12:$L$111,$I$1,'AP2'!$D$12:$D$111,AuxPlan!$C22)</f>
        <v>0</v>
      </c>
      <c r="J22" s="75" t="str">
        <f ca="1">IFERROR(AVERAGEIF('AP2'!$D$12:$E$111,C22,'AP2'!$J$12:$J$1011),"")</f>
        <v/>
      </c>
      <c r="K22">
        <f>IFERROR(VLOOKUP(C22,'AP2'!$D$12:$E$111,1,),0)</f>
        <v>0</v>
      </c>
    </row>
    <row r="23" spans="2:11">
      <c r="B23" s="23" t="str">
        <f t="shared" si="1"/>
        <v>Meta 2</v>
      </c>
      <c r="C23" s="14" t="str">
        <f>IF('O2'!$B$21="","",'O2'!$B$21)</f>
        <v/>
      </c>
      <c r="D23" s="14" t="str">
        <f>IF('O2'!$B21="","",'O2'!$D21)</f>
        <v/>
      </c>
      <c r="E23" s="13">
        <f>IF(C23="",0,COUNTIF('AP2'!$D$12:$E$111,AuxPlan!C23))</f>
        <v>0</v>
      </c>
      <c r="F23" s="13">
        <f>COUNTIFS('AP2'!$K$12:$K$111,Data!$K$5,'AP2'!$D$12:$D$111,AuxPlan!$C23)</f>
        <v>0</v>
      </c>
      <c r="G23" s="13">
        <f>COUNTIFS('AP2'!$K$12:$K$111,Data!$K$3,'AP2'!$D$12:$D$111,AuxPlan!$C23)</f>
        <v>0</v>
      </c>
      <c r="H23" s="13">
        <f>COUNTIFS('AP2'!$K$12:$K$111,Data!$K$2,'AP2'!$D$12:$D$111,AuxPlan!$C23)</f>
        <v>0</v>
      </c>
      <c r="I23" s="79">
        <f ca="1">COUNTIFS('AP2'!$L$12:$L$111,$I$1,'AP2'!$D$12:$D$111,AuxPlan!$C23)</f>
        <v>0</v>
      </c>
      <c r="J23" s="76" t="str">
        <f ca="1">IFERROR(AVERAGEIF('AP2'!$D$12:$E$111,C23,'AP2'!$J$12:$J$1011),"")</f>
        <v/>
      </c>
      <c r="K23">
        <f>IFERROR(VLOOKUP(C23,'AP2'!$D$12:$E$111,1,),0)</f>
        <v>0</v>
      </c>
    </row>
    <row r="24" spans="2:11">
      <c r="B24" s="18" t="str">
        <f>IF(Goals!C14="","",Goals!B14)</f>
        <v>Meta 3</v>
      </c>
      <c r="C24" s="12" t="str">
        <f>IF('O3'!$B$12="","",'O3'!$B$12)</f>
        <v>Incrementar en 30% el reconocimiento de marca en redes sociales antes de junio de 2026.</v>
      </c>
      <c r="D24" s="12" t="str">
        <f>IF('O3'!$B12="","",'O3'!$D12)</f>
        <v>Comercialización (Marketing y Ventas)</v>
      </c>
      <c r="E24" s="68">
        <f>IF(C24="",0,COUNTIF('AP3'!$D$12:$E$111,AuxPlan!C24))</f>
        <v>1</v>
      </c>
      <c r="F24" s="68">
        <f>COUNTIFS('AP3'!$K$12:$K$111,Data!$K$5,'AP3'!$D$12:$D$111,AuxPlan!$C24)</f>
        <v>0</v>
      </c>
      <c r="G24" s="68">
        <f>COUNTIFS('AP3'!$K$12:$K$111,Data!$K$3,'AP3'!$D$12:$D$111,AuxPlan!$C24)</f>
        <v>1</v>
      </c>
      <c r="H24" s="68">
        <f>COUNTIFS('AP3'!$K$12:$K$111,Data!$K$2,'AP3'!$D$12:$D$111,AuxPlan!$C24)</f>
        <v>0</v>
      </c>
      <c r="I24" s="80">
        <f ca="1">COUNTIFS('AP3'!$L$12:$L$111,$I$1,'AP3'!$D$12:$D$111,AuxPlan!$C24)</f>
        <v>0</v>
      </c>
      <c r="J24" s="75">
        <f ca="1">IFERROR(AVERAGEIF('AP3'!$D$12:$E$111,C24,'AP3'!$J$12:$J$1011),"")</f>
        <v>0.1</v>
      </c>
      <c r="K24" t="str">
        <f>IFERROR(VLOOKUP(C24,'AP3'!$D$12:$E$111,1,),0)</f>
        <v>Incrementar en 30% el reconocimiento de marca en redes sociales antes de junio de 2026.</v>
      </c>
    </row>
    <row r="25" spans="2:11">
      <c r="B25" s="23" t="str">
        <f>B24</f>
        <v>Meta 3</v>
      </c>
      <c r="C25" t="str">
        <f>IF('O3'!$B$13="","",'O3'!$B$13)</f>
        <v>Lograr que 60% de los visitantes recomienden nuestros productos en encuestas de salida para diciembre de 2025.</v>
      </c>
      <c r="D25" t="str">
        <f>IF('O3'!$B13="","",'O3'!$D13)</f>
        <v>Comercialización (Marketing y Ventas)</v>
      </c>
      <c r="E25" s="9">
        <f>IF(C25="",0,COUNTIF('AP3'!$D$12:$E$111,AuxPlan!C25))</f>
        <v>1</v>
      </c>
      <c r="F25" s="9">
        <f>COUNTIFS('AP3'!$K$12:$K$111,Data!$K$5,'AP3'!$D$12:$D$111,AuxPlan!$C25)</f>
        <v>1</v>
      </c>
      <c r="G25" s="9">
        <f>COUNTIFS('AP3'!$K$12:$K$111,Data!$K$3,'AP3'!$D$12:$D$111,AuxPlan!$C25)</f>
        <v>0</v>
      </c>
      <c r="H25" s="9">
        <f>COUNTIFS('AP3'!$K$12:$K$111,Data!$K$2,'AP3'!$D$12:$D$111,AuxPlan!$C25)</f>
        <v>0</v>
      </c>
      <c r="I25" s="78">
        <f ca="1">COUNTIFS('AP3'!$L$12:$L$111,$I$1,'AP3'!$D$12:$D$111,AuxPlan!$C25)</f>
        <v>0</v>
      </c>
      <c r="J25" s="75">
        <f ca="1">IFERROR(AVERAGEIF('AP3'!$D$12:$E$111,C25,'AP3'!$J$12:$J$1011),"")</f>
        <v>0</v>
      </c>
      <c r="K25" t="str">
        <f>IFERROR(VLOOKUP(C25,'AP3'!$D$12:$E$111,1,),0)</f>
        <v>Lograr que 60% de los visitantes recomienden nuestros productos en encuestas de salida para diciembre de 2025.</v>
      </c>
    </row>
    <row r="26" spans="2:11">
      <c r="B26" s="23" t="str">
        <f t="shared" ref="B26:B33" si="2">B25</f>
        <v>Meta 3</v>
      </c>
      <c r="C26">
        <f>IF('O3'!$B$13="","",'O3'!$B$14)</f>
        <v>0</v>
      </c>
      <c r="D26" t="str">
        <f>IF('O3'!$B14="","",'O3'!$D14)</f>
        <v/>
      </c>
      <c r="E26" s="9">
        <f>IF(C26="",0,COUNTIF('AP3'!$D$12:$E$111,AuxPlan!C26))</f>
        <v>0</v>
      </c>
      <c r="F26" s="9">
        <f>COUNTIFS('AP3'!$K$12:$K$111,Data!$K$5,'AP3'!$D$12:$D$111,AuxPlan!$C26)</f>
        <v>0</v>
      </c>
      <c r="G26" s="9">
        <f>COUNTIFS('AP3'!$K$12:$K$111,Data!$K$3,'AP3'!$D$12:$D$111,AuxPlan!$C26)</f>
        <v>0</v>
      </c>
      <c r="H26" s="9">
        <f>COUNTIFS('AP3'!$K$12:$K$111,Data!$K$2,'AP3'!$D$12:$D$111,AuxPlan!$C26)</f>
        <v>0</v>
      </c>
      <c r="I26" s="78">
        <f ca="1">COUNTIFS('AP3'!$L$12:$L$111,$I$1,'AP3'!$D$12:$D$111,AuxPlan!$C26)</f>
        <v>0</v>
      </c>
      <c r="J26" s="75" t="str">
        <f ca="1">IFERROR(AVERAGEIF('AP3'!$D$12:$E$111,C26,'AP3'!$J$12:$J$1011),"")</f>
        <v/>
      </c>
      <c r="K26">
        <f>IFERROR(VLOOKUP(C26,'AP3'!$D$12:$E$111,1,),0)</f>
        <v>0</v>
      </c>
    </row>
    <row r="27" spans="2:11">
      <c r="B27" s="23" t="str">
        <f t="shared" si="2"/>
        <v>Meta 3</v>
      </c>
      <c r="C27" t="str">
        <f>IF('O3'!$B$15="","",'O3'!$B$15)</f>
        <v/>
      </c>
      <c r="D27" t="str">
        <f>IF('O3'!$B15="","",'O3'!$D15)</f>
        <v/>
      </c>
      <c r="E27" s="9">
        <f>IF(C27="",0,COUNTIF('AP3'!$D$12:$E$111,AuxPlan!C27))</f>
        <v>0</v>
      </c>
      <c r="F27" s="9">
        <f>COUNTIFS('AP3'!$K$12:$K$111,Data!$K$5,'AP3'!$D$12:$D$111,AuxPlan!$C27)</f>
        <v>0</v>
      </c>
      <c r="G27" s="9">
        <f>COUNTIFS('AP3'!$K$12:$K$111,Data!$K$3,'AP3'!$D$12:$D$111,AuxPlan!$C27)</f>
        <v>0</v>
      </c>
      <c r="H27" s="9">
        <f>COUNTIFS('AP3'!$K$12:$K$111,Data!$K$2,'AP3'!$D$12:$D$111,AuxPlan!$C27)</f>
        <v>0</v>
      </c>
      <c r="I27" s="78">
        <f ca="1">COUNTIFS('AP3'!$L$12:$L$111,$I$1,'AP3'!$D$12:$D$111,AuxPlan!$C27)</f>
        <v>0</v>
      </c>
      <c r="J27" s="75" t="str">
        <f ca="1">IFERROR(AVERAGEIF('AP3'!$D$12:$E$111,C27,'AP3'!$J$12:$J$1011),"")</f>
        <v/>
      </c>
      <c r="K27">
        <f>IFERROR(VLOOKUP(C27,'AP3'!$D$12:$E$111,1,),0)</f>
        <v>0</v>
      </c>
    </row>
    <row r="28" spans="2:11">
      <c r="B28" s="23" t="str">
        <f t="shared" si="2"/>
        <v>Meta 3</v>
      </c>
      <c r="C28" t="str">
        <f>IF('O3'!$B$16="","",'O3'!$B$16)</f>
        <v/>
      </c>
      <c r="D28" t="str">
        <f>IF('O3'!$B16="","",'O3'!$D16)</f>
        <v/>
      </c>
      <c r="E28" s="9">
        <f>IF(C28="",0,COUNTIF('AP3'!$D$12:$E$111,AuxPlan!C28))</f>
        <v>0</v>
      </c>
      <c r="F28" s="9">
        <f>COUNTIFS('AP3'!$K$12:$K$111,Data!$K$5,'AP3'!$D$12:$D$111,AuxPlan!$C28)</f>
        <v>0</v>
      </c>
      <c r="G28" s="9">
        <f>COUNTIFS('AP3'!$K$12:$K$111,Data!$K$3,'AP3'!$D$12:$D$111,AuxPlan!$C28)</f>
        <v>0</v>
      </c>
      <c r="H28" s="9">
        <f>COUNTIFS('AP3'!$K$12:$K$111,Data!$K$2,'AP3'!$D$12:$D$111,AuxPlan!$C28)</f>
        <v>0</v>
      </c>
      <c r="I28" s="78">
        <f ca="1">COUNTIFS('AP3'!$L$12:$L$111,$I$1,'AP3'!$D$12:$D$111,AuxPlan!$C28)</f>
        <v>0</v>
      </c>
      <c r="J28" s="75" t="str">
        <f ca="1">IFERROR(AVERAGEIF('AP3'!$D$12:$E$111,C28,'AP3'!$J$12:$J$1011),"")</f>
        <v/>
      </c>
      <c r="K28">
        <f>IFERROR(VLOOKUP(C28,'AP3'!$D$12:$E$111,1,),0)</f>
        <v>0</v>
      </c>
    </row>
    <row r="29" spans="2:11">
      <c r="B29" s="23" t="str">
        <f t="shared" si="2"/>
        <v>Meta 3</v>
      </c>
      <c r="C29" t="str">
        <f>IF('O3'!$B$17="","",'O3'!$B$17)</f>
        <v/>
      </c>
      <c r="D29" t="str">
        <f>IF('O3'!$B17="","",'O3'!$D17)</f>
        <v/>
      </c>
      <c r="E29" s="9">
        <f>IF(C29="",0,COUNTIF('AP3'!$D$12:$E$111,AuxPlan!C29))</f>
        <v>0</v>
      </c>
      <c r="F29" s="9">
        <f>COUNTIFS('AP3'!$K$12:$K$111,Data!$K$5,'AP3'!$D$12:$D$111,AuxPlan!$C29)</f>
        <v>0</v>
      </c>
      <c r="G29" s="9">
        <f>COUNTIFS('AP3'!$K$12:$K$111,Data!$K$3,'AP3'!$D$12:$D$111,AuxPlan!$C29)</f>
        <v>0</v>
      </c>
      <c r="H29" s="9">
        <f>COUNTIFS('AP3'!$K$12:$K$111,Data!$K$2,'AP3'!$D$12:$D$111,AuxPlan!$C29)</f>
        <v>0</v>
      </c>
      <c r="I29" s="78">
        <f ca="1">COUNTIFS('AP3'!$L$12:$L$111,$I$1,'AP3'!$D$12:$D$111,AuxPlan!$C29)</f>
        <v>0</v>
      </c>
      <c r="J29" s="75" t="str">
        <f ca="1">IFERROR(AVERAGEIF('AP3'!$D$12:$E$111,C29,'AP3'!$J$12:$J$1011),"")</f>
        <v/>
      </c>
      <c r="K29">
        <f>IFERROR(VLOOKUP(C29,'AP3'!$D$12:$E$111,1,),0)</f>
        <v>0</v>
      </c>
    </row>
    <row r="30" spans="2:11">
      <c r="B30" s="23" t="str">
        <f t="shared" si="2"/>
        <v>Meta 3</v>
      </c>
      <c r="C30" t="str">
        <f>IF('O3'!$B$18="","",'O3'!$B$18)</f>
        <v/>
      </c>
      <c r="D30" t="str">
        <f>IF('O3'!$B18="","",'O3'!$D18)</f>
        <v/>
      </c>
      <c r="E30" s="9">
        <f>IF(C30="",0,COUNTIF('AP3'!$D$12:$E$111,AuxPlan!C30))</f>
        <v>0</v>
      </c>
      <c r="F30" s="9">
        <f>COUNTIFS('AP3'!$K$12:$K$111,Data!$K$5,'AP3'!$D$12:$D$111,AuxPlan!$C30)</f>
        <v>0</v>
      </c>
      <c r="G30" s="9">
        <f>COUNTIFS('AP3'!$K$12:$K$111,Data!$K$3,'AP3'!$D$12:$D$111,AuxPlan!$C30)</f>
        <v>0</v>
      </c>
      <c r="H30" s="9">
        <f>COUNTIFS('AP3'!$K$12:$K$111,Data!$K$2,'AP3'!$D$12:$D$111,AuxPlan!$C30)</f>
        <v>0</v>
      </c>
      <c r="I30" s="78">
        <f ca="1">COUNTIFS('AP3'!$L$12:$L$111,$I$1,'AP3'!$D$12:$D$111,AuxPlan!$C30)</f>
        <v>0</v>
      </c>
      <c r="J30" s="75" t="str">
        <f ca="1">IFERROR(AVERAGEIF('AP3'!$D$12:$E$111,C30,'AP3'!$J$12:$J$1011),"")</f>
        <v/>
      </c>
      <c r="K30">
        <f>IFERROR(VLOOKUP(C30,'AP3'!$D$12:$E$111,1,),0)</f>
        <v>0</v>
      </c>
    </row>
    <row r="31" spans="2:11">
      <c r="B31" s="23" t="str">
        <f t="shared" si="2"/>
        <v>Meta 3</v>
      </c>
      <c r="C31" t="str">
        <f>IF('O3'!$B$19="","",'O3'!$B$19)</f>
        <v/>
      </c>
      <c r="D31" t="str">
        <f>IF('O3'!$B19="","",'O3'!$D19)</f>
        <v/>
      </c>
      <c r="E31" s="9">
        <f>IF(C31="",0,COUNTIF('AP3'!$D$12:$E$111,AuxPlan!C31))</f>
        <v>0</v>
      </c>
      <c r="F31" s="9">
        <f>COUNTIFS('AP3'!$K$12:$K$111,Data!$K$5,'AP3'!$D$12:$D$111,AuxPlan!$C31)</f>
        <v>0</v>
      </c>
      <c r="G31" s="9">
        <f>COUNTIFS('AP3'!$K$12:$K$111,Data!$K$3,'AP3'!$D$12:$D$111,AuxPlan!$C31)</f>
        <v>0</v>
      </c>
      <c r="H31" s="9">
        <f>COUNTIFS('AP3'!$K$12:$K$111,Data!$K$2,'AP3'!$D$12:$D$111,AuxPlan!$C31)</f>
        <v>0</v>
      </c>
      <c r="I31" s="78">
        <f ca="1">COUNTIFS('AP3'!$L$12:$L$111,$I$1,'AP3'!$D$12:$D$111,AuxPlan!$C31)</f>
        <v>0</v>
      </c>
      <c r="J31" s="75" t="str">
        <f ca="1">IFERROR(AVERAGEIF('AP3'!$D$12:$E$111,C31,'AP3'!$J$12:$J$1011),"")</f>
        <v/>
      </c>
      <c r="K31">
        <f>IFERROR(VLOOKUP(C31,'AP3'!$D$12:$E$111,1,),0)</f>
        <v>0</v>
      </c>
    </row>
    <row r="32" spans="2:11">
      <c r="B32" s="23" t="str">
        <f t="shared" si="2"/>
        <v>Meta 3</v>
      </c>
      <c r="C32" t="str">
        <f>IF('O3'!$B$20="","",'O3'!$B$20)</f>
        <v/>
      </c>
      <c r="D32" t="str">
        <f>IF('O3'!$B20="","",'O3'!$D20)</f>
        <v/>
      </c>
      <c r="E32" s="9">
        <f>IF(C32="",0,COUNTIF('AP3'!$D$12:$E$111,AuxPlan!C32))</f>
        <v>0</v>
      </c>
      <c r="F32" s="9">
        <f>COUNTIFS('AP3'!$K$12:$K$111,Data!$K$5,'AP3'!$D$12:$D$111,AuxPlan!$C32)</f>
        <v>0</v>
      </c>
      <c r="G32" s="9">
        <f>COUNTIFS('AP3'!$K$12:$K$111,Data!$K$3,'AP3'!$D$12:$D$111,AuxPlan!$C32)</f>
        <v>0</v>
      </c>
      <c r="H32" s="9">
        <f>COUNTIFS('AP3'!$K$12:$K$111,Data!$K$2,'AP3'!$D$12:$D$111,AuxPlan!$C32)</f>
        <v>0</v>
      </c>
      <c r="I32" s="78">
        <f ca="1">COUNTIFS('AP3'!$L$12:$L$111,$I$1,'AP3'!$D$12:$D$111,AuxPlan!$C32)</f>
        <v>0</v>
      </c>
      <c r="J32" s="75" t="str">
        <f ca="1">IFERROR(AVERAGEIF('AP3'!$D$12:$E$111,C32,'AP3'!$J$12:$J$1011),"")</f>
        <v/>
      </c>
      <c r="K32">
        <f>IFERROR(VLOOKUP(C32,'AP3'!$D$12:$E$111,1,),0)</f>
        <v>0</v>
      </c>
    </row>
    <row r="33" spans="2:11">
      <c r="B33" s="23" t="str">
        <f t="shared" si="2"/>
        <v>Meta 3</v>
      </c>
      <c r="C33" s="14" t="str">
        <f>IF('O3'!$B$21="","",'O3'!$B$21)</f>
        <v/>
      </c>
      <c r="D33" s="14" t="str">
        <f>IF('O3'!$B21="","",'O3'!$D21)</f>
        <v/>
      </c>
      <c r="E33" s="13">
        <f>IF(C33="",0,COUNTIF('AP3'!$D$12:$E$111,AuxPlan!C33))</f>
        <v>0</v>
      </c>
      <c r="F33" s="13">
        <f>COUNTIFS('AP3'!$K$12:$K$111,Data!$K$5,'AP3'!$D$12:$D$111,AuxPlan!$C33)</f>
        <v>0</v>
      </c>
      <c r="G33" s="13">
        <f>COUNTIFS('AP3'!$K$12:$K$111,Data!$K$3,'AP3'!$D$12:$D$111,AuxPlan!$C33)</f>
        <v>0</v>
      </c>
      <c r="H33" s="13">
        <f>COUNTIFS('AP3'!$K$12:$K$111,Data!$K$2,'AP3'!$D$12:$D$111,AuxPlan!$C33)</f>
        <v>0</v>
      </c>
      <c r="I33" s="79">
        <f ca="1">COUNTIFS('AP3'!$L$12:$L$111,$I$1,'AP3'!$D$12:$D$111,AuxPlan!$C33)</f>
        <v>0</v>
      </c>
      <c r="J33" s="75" t="str">
        <f ca="1">IFERROR(AVERAGEIF('AP3'!$D$12:$E$111,C33,'AP3'!$J$12:$J$1011),"")</f>
        <v/>
      </c>
      <c r="K33">
        <f>IFERROR(VLOOKUP(C33,'AP3'!$D$12:$E$111,1,),0)</f>
        <v>0</v>
      </c>
    </row>
    <row r="34" spans="2:11">
      <c r="B34" s="18" t="str">
        <f>IF(Goals!C15="","",Goals!B15)</f>
        <v>Meta 4</v>
      </c>
      <c r="C34" s="12" t="str">
        <f>IF('O4'!$B$12="","",'O4'!$B$12)</f>
        <v>Obtener la certificación de Buenas Prácticas de Manufactura antes de noviembre de 2026.</v>
      </c>
      <c r="D34" s="12" t="str">
        <f>IF('O4'!$B12="","",'O4'!$D12)</f>
        <v>Administración</v>
      </c>
      <c r="E34" s="68">
        <f>IF(C34="",0,COUNTIF('AP4'!$D$12:$E$111,AuxPlan!C34))</f>
        <v>0</v>
      </c>
      <c r="F34" s="68">
        <f>COUNTIFS('AP4'!$K$12:$K$111,Data!$K$5,'AP4'!$D$12:$D$111,AuxPlan!$C34)</f>
        <v>0</v>
      </c>
      <c r="G34" s="68">
        <f>COUNTIFS('AP4'!$K$12:$K$111,Data!$K$3,'AP4'!$D$12:$D$111,AuxPlan!$C34)</f>
        <v>0</v>
      </c>
      <c r="H34" s="68">
        <f>COUNTIFS('AP4'!$K$12:$K$111,Data!$K$2,'AP4'!$D$12:$D$111,AuxPlan!$C34)</f>
        <v>0</v>
      </c>
      <c r="I34" s="80">
        <f ca="1">COUNTIFS('AP4'!$L$12:$L$111,$I$1,'AP4'!$D$12:$D$111,AuxPlan!$C34)</f>
        <v>0</v>
      </c>
      <c r="J34" s="77" t="str">
        <f ca="1">IFERROR(AVERAGEIF('AP4'!$D$12:$E$111,C34,'AP4'!$J$12:$J$1011),"")</f>
        <v/>
      </c>
      <c r="K34">
        <f>IFERROR(VLOOKUP(C34,'AP4'!$D$12:$E$111,1,),0)</f>
        <v>0</v>
      </c>
    </row>
    <row r="35" spans="2:11">
      <c r="B35" s="23" t="str">
        <f>B34</f>
        <v>Meta 4</v>
      </c>
      <c r="C35" t="str">
        <f>IF('O4'!$B$13="","",'O4'!$B$13)</f>
        <v>Reducir en 50% las devoluciones por defectos en producto para diciembre de 2025.</v>
      </c>
      <c r="D35" t="str">
        <f>IF('O4'!$B13="","",'O4'!$D13)</f>
        <v>Operaciones / Producción</v>
      </c>
      <c r="E35" s="9">
        <f>IF(C35="",0,COUNTIF('AP4'!$D$12:$E$111,AuxPlan!C35))</f>
        <v>0</v>
      </c>
      <c r="F35" s="9">
        <f>COUNTIFS('AP4'!$K$12:$K$111,Data!$K$5,'AP4'!$D$12:$D$111,AuxPlan!$C35)</f>
        <v>0</v>
      </c>
      <c r="G35" s="9">
        <f>COUNTIFS('AP4'!$K$12:$K$111,Data!$K$3,'AP4'!$D$12:$D$111,AuxPlan!$C35)</f>
        <v>0</v>
      </c>
      <c r="H35" s="9">
        <f>COUNTIFS('AP4'!$K$12:$K$111,Data!$K$2,'AP4'!$D$12:$D$111,AuxPlan!$C35)</f>
        <v>0</v>
      </c>
      <c r="I35" s="78">
        <f ca="1">COUNTIFS('AP4'!$L$12:$L$111,$I$1,'AP4'!$D$12:$D$111,AuxPlan!$C35)</f>
        <v>0</v>
      </c>
      <c r="J35" s="75" t="str">
        <f ca="1">IFERROR(AVERAGEIF('AP4'!$D$12:$E$111,C35,'AP4'!$J$12:$J$1011),"")</f>
        <v/>
      </c>
      <c r="K35">
        <f>IFERROR(VLOOKUP(C35,'AP4'!$D$12:$E$111,1,),0)</f>
        <v>0</v>
      </c>
    </row>
    <row r="36" spans="2:11">
      <c r="B36" s="23" t="str">
        <f t="shared" ref="B36:B43" si="3">B35</f>
        <v>Meta 4</v>
      </c>
      <c r="C36">
        <f>IF('O4'!$B$13="","",'O4'!$B$14)</f>
        <v>0</v>
      </c>
      <c r="D36" t="str">
        <f>IF('O4'!$B14="","",'O4'!$D14)</f>
        <v/>
      </c>
      <c r="E36" s="9">
        <f>IF(C36="",0,COUNTIF('AP4'!$D$12:$E$111,AuxPlan!C36))</f>
        <v>0</v>
      </c>
      <c r="F36" s="9">
        <f>COUNTIFS('AP4'!$K$12:$K$111,Data!$K$5,'AP4'!$D$12:$D$111,AuxPlan!$C36)</f>
        <v>0</v>
      </c>
      <c r="G36" s="9">
        <f>COUNTIFS('AP4'!$K$12:$K$111,Data!$K$3,'AP4'!$D$12:$D$111,AuxPlan!$C36)</f>
        <v>0</v>
      </c>
      <c r="H36" s="9">
        <f>COUNTIFS('AP4'!$K$12:$K$111,Data!$K$2,'AP4'!$D$12:$D$111,AuxPlan!$C36)</f>
        <v>0</v>
      </c>
      <c r="I36" s="78">
        <f ca="1">COUNTIFS('AP4'!$L$12:$L$111,$I$1,'AP4'!$D$12:$D$111,AuxPlan!$C36)</f>
        <v>0</v>
      </c>
      <c r="J36" s="75" t="str">
        <f ca="1">IFERROR(AVERAGEIF('AP4'!$D$12:$E$111,C36,'AP4'!$J$12:$J$1011),"")</f>
        <v/>
      </c>
      <c r="K36">
        <f>IFERROR(VLOOKUP(C36,'AP4'!$D$12:$E$111,1,),0)</f>
        <v>0</v>
      </c>
    </row>
    <row r="37" spans="2:11">
      <c r="B37" s="23" t="str">
        <f t="shared" si="3"/>
        <v>Meta 4</v>
      </c>
      <c r="C37" t="str">
        <f>IF('O4'!$B$15="","",'O4'!$B$15)</f>
        <v/>
      </c>
      <c r="D37" t="str">
        <f>IF('O4'!$B15="","",'O4'!$D15)</f>
        <v/>
      </c>
      <c r="E37" s="9">
        <f>IF(C37="",0,COUNTIF('AP4'!$D$12:$E$111,AuxPlan!C37))</f>
        <v>0</v>
      </c>
      <c r="F37" s="9">
        <f>COUNTIFS('AP4'!$K$12:$K$111,Data!$K$5,'AP4'!$D$12:$D$111,AuxPlan!$C37)</f>
        <v>0</v>
      </c>
      <c r="G37" s="9">
        <f>COUNTIFS('AP4'!$K$12:$K$111,Data!$K$3,'AP4'!$D$12:$D$111,AuxPlan!$C37)</f>
        <v>0</v>
      </c>
      <c r="H37" s="9">
        <f>COUNTIFS('AP4'!$K$12:$K$111,Data!$K$2,'AP4'!$D$12:$D$111,AuxPlan!$C37)</f>
        <v>0</v>
      </c>
      <c r="I37" s="78">
        <f ca="1">COUNTIFS('AP4'!$L$12:$L$111,$I$1,'AP4'!$D$12:$D$111,AuxPlan!$C37)</f>
        <v>0</v>
      </c>
      <c r="J37" s="75" t="str">
        <f ca="1">IFERROR(AVERAGEIF('AP4'!$D$12:$E$111,C37,'AP4'!$J$12:$J$1011),"")</f>
        <v/>
      </c>
      <c r="K37">
        <f>IFERROR(VLOOKUP(C37,'AP4'!$D$12:$E$111,1,),0)</f>
        <v>0</v>
      </c>
    </row>
    <row r="38" spans="2:11">
      <c r="B38" s="23" t="str">
        <f t="shared" si="3"/>
        <v>Meta 4</v>
      </c>
      <c r="C38" t="str">
        <f>IF('O4'!$B$16="","",'O4'!$B$16)</f>
        <v/>
      </c>
      <c r="D38" t="str">
        <f>IF('O4'!$B16="","",'O4'!$D16)</f>
        <v/>
      </c>
      <c r="E38" s="9">
        <f>IF(C38="",0,COUNTIF('AP4'!$D$12:$E$111,AuxPlan!C38))</f>
        <v>0</v>
      </c>
      <c r="F38" s="9">
        <f>COUNTIFS('AP4'!$K$12:$K$111,Data!$K$5,'AP4'!$D$12:$D$111,AuxPlan!$C38)</f>
        <v>0</v>
      </c>
      <c r="G38" s="9">
        <f>COUNTIFS('AP4'!$K$12:$K$111,Data!$K$3,'AP4'!$D$12:$D$111,AuxPlan!$C38)</f>
        <v>0</v>
      </c>
      <c r="H38" s="9">
        <f>COUNTIFS('AP4'!$K$12:$K$111,Data!$K$2,'AP4'!$D$12:$D$111,AuxPlan!$C38)</f>
        <v>0</v>
      </c>
      <c r="I38" s="78">
        <f ca="1">COUNTIFS('AP4'!$L$12:$L$111,$I$1,'AP4'!$D$12:$D$111,AuxPlan!$C38)</f>
        <v>0</v>
      </c>
      <c r="J38" s="75" t="str">
        <f ca="1">IFERROR(AVERAGEIF('AP4'!$D$12:$E$111,C38,'AP4'!$J$12:$J$1011),"")</f>
        <v/>
      </c>
      <c r="K38">
        <f>IFERROR(VLOOKUP(C38,'AP4'!$D$12:$E$111,1,),0)</f>
        <v>0</v>
      </c>
    </row>
    <row r="39" spans="2:11">
      <c r="B39" s="23" t="str">
        <f t="shared" si="3"/>
        <v>Meta 4</v>
      </c>
      <c r="C39" t="str">
        <f>IF('O4'!$B$17="","",'O4'!$B$17)</f>
        <v/>
      </c>
      <c r="D39" t="str">
        <f>IF('O4'!$B17="","",'O4'!$D17)</f>
        <v/>
      </c>
      <c r="E39" s="9">
        <f>IF(C39="",0,COUNTIF('AP4'!$D$12:$E$111,AuxPlan!C39))</f>
        <v>0</v>
      </c>
      <c r="F39" s="9">
        <f>COUNTIFS('AP4'!$K$12:$K$111,Data!$K$5,'AP4'!$D$12:$D$111,AuxPlan!$C39)</f>
        <v>0</v>
      </c>
      <c r="G39" s="9">
        <f>COUNTIFS('AP4'!$K$12:$K$111,Data!$K$3,'AP4'!$D$12:$D$111,AuxPlan!$C39)</f>
        <v>0</v>
      </c>
      <c r="H39" s="9">
        <f>COUNTIFS('AP4'!$K$12:$K$111,Data!$K$2,'AP4'!$D$12:$D$111,AuxPlan!$C39)</f>
        <v>0</v>
      </c>
      <c r="I39" s="78">
        <f ca="1">COUNTIFS('AP4'!$L$12:$L$111,$I$1,'AP4'!$D$12:$D$111,AuxPlan!$C39)</f>
        <v>0</v>
      </c>
      <c r="J39" s="75" t="str">
        <f ca="1">IFERROR(AVERAGEIF('AP4'!$D$12:$E$111,C39,'AP4'!$J$12:$J$1011),"")</f>
        <v/>
      </c>
      <c r="K39">
        <f>IFERROR(VLOOKUP(C39,'AP4'!$D$12:$E$111,1,),0)</f>
        <v>0</v>
      </c>
    </row>
    <row r="40" spans="2:11">
      <c r="B40" s="23" t="str">
        <f t="shared" si="3"/>
        <v>Meta 4</v>
      </c>
      <c r="C40" t="str">
        <f>IF('O4'!$B$18="","",'O4'!$B$18)</f>
        <v/>
      </c>
      <c r="D40" t="str">
        <f>IF('O4'!$B18="","",'O4'!$D18)</f>
        <v/>
      </c>
      <c r="E40" s="9">
        <f>IF(C40="",0,COUNTIF('AP4'!$D$12:$E$111,AuxPlan!C40))</f>
        <v>0</v>
      </c>
      <c r="F40" s="9">
        <f>COUNTIFS('AP4'!$K$12:$K$111,Data!$K$5,'AP4'!$D$12:$D$111,AuxPlan!$C40)</f>
        <v>0</v>
      </c>
      <c r="G40" s="9">
        <f>COUNTIFS('AP4'!$K$12:$K$111,Data!$K$3,'AP4'!$D$12:$D$111,AuxPlan!$C40)</f>
        <v>0</v>
      </c>
      <c r="H40" s="9">
        <f>COUNTIFS('AP4'!$K$12:$K$111,Data!$K$2,'AP4'!$D$12:$D$111,AuxPlan!$C40)</f>
        <v>0</v>
      </c>
      <c r="I40" s="78">
        <f ca="1">COUNTIFS('AP4'!$L$12:$L$111,$I$1,'AP4'!$D$12:$D$111,AuxPlan!$C40)</f>
        <v>0</v>
      </c>
      <c r="J40" s="75" t="str">
        <f ca="1">IFERROR(AVERAGEIF('AP4'!$D$12:$E$111,C40,'AP4'!$J$12:$J$1011),"")</f>
        <v/>
      </c>
      <c r="K40">
        <f>IFERROR(VLOOKUP(C40,'AP4'!$D$12:$E$111,1,),0)</f>
        <v>0</v>
      </c>
    </row>
    <row r="41" spans="2:11">
      <c r="B41" s="23" t="str">
        <f t="shared" si="3"/>
        <v>Meta 4</v>
      </c>
      <c r="C41" t="str">
        <f>IF('O4'!$B$19="","",'O4'!$B$19)</f>
        <v/>
      </c>
      <c r="D41" t="str">
        <f>IF('O4'!$B19="","",'O4'!$D19)</f>
        <v/>
      </c>
      <c r="E41" s="9">
        <f>IF(C41="",0,COUNTIF('AP4'!$D$12:$E$111,AuxPlan!C41))</f>
        <v>0</v>
      </c>
      <c r="F41" s="9">
        <f>COUNTIFS('AP4'!$K$12:$K$111,Data!$K$5,'AP4'!$D$12:$D$111,AuxPlan!$C41)</f>
        <v>0</v>
      </c>
      <c r="G41" s="9">
        <f>COUNTIFS('AP4'!$K$12:$K$111,Data!$K$3,'AP4'!$D$12:$D$111,AuxPlan!$C41)</f>
        <v>0</v>
      </c>
      <c r="H41" s="9">
        <f>COUNTIFS('AP4'!$K$12:$K$111,Data!$K$2,'AP4'!$D$12:$D$111,AuxPlan!$C41)</f>
        <v>0</v>
      </c>
      <c r="I41" s="78">
        <f ca="1">COUNTIFS('AP4'!$L$12:$L$111,$I$1,'AP4'!$D$12:$D$111,AuxPlan!$C41)</f>
        <v>0</v>
      </c>
      <c r="J41" s="75" t="str">
        <f ca="1">IFERROR(AVERAGEIF('AP4'!$D$12:$E$111,C41,'AP4'!$J$12:$J$1011),"")</f>
        <v/>
      </c>
      <c r="K41">
        <f>IFERROR(VLOOKUP(C41,'AP4'!$D$12:$E$111,1,),0)</f>
        <v>0</v>
      </c>
    </row>
    <row r="42" spans="2:11">
      <c r="B42" s="23" t="str">
        <f t="shared" si="3"/>
        <v>Meta 4</v>
      </c>
      <c r="C42" t="str">
        <f>IF('O4'!$B$20="","",'O4'!$B$20)</f>
        <v/>
      </c>
      <c r="D42" t="str">
        <f>IF('O4'!$B20="","",'O4'!$D20)</f>
        <v/>
      </c>
      <c r="E42" s="9">
        <f>IF(C42="",0,COUNTIF('AP4'!$D$12:$E$111,AuxPlan!C42))</f>
        <v>0</v>
      </c>
      <c r="F42" s="9">
        <f>COUNTIFS('AP4'!$K$12:$K$111,Data!$K$5,'AP4'!$D$12:$D$111,AuxPlan!$C42)</f>
        <v>0</v>
      </c>
      <c r="G42" s="9">
        <f>COUNTIFS('AP4'!$K$12:$K$111,Data!$K$3,'AP4'!$D$12:$D$111,AuxPlan!$C42)</f>
        <v>0</v>
      </c>
      <c r="H42" s="9">
        <f>COUNTIFS('AP4'!$K$12:$K$111,Data!$K$2,'AP4'!$D$12:$D$111,AuxPlan!$C42)</f>
        <v>0</v>
      </c>
      <c r="I42" s="78">
        <f ca="1">COUNTIFS('AP4'!$L$12:$L$111,$I$1,'AP4'!$D$12:$D$111,AuxPlan!$C42)</f>
        <v>0</v>
      </c>
      <c r="J42" s="75" t="str">
        <f ca="1">IFERROR(AVERAGEIF('AP4'!$D$12:$E$111,C42,'AP4'!$J$12:$J$1011),"")</f>
        <v/>
      </c>
      <c r="K42">
        <f>IFERROR(VLOOKUP(C42,'AP4'!$D$12:$E$111,1,),0)</f>
        <v>0</v>
      </c>
    </row>
    <row r="43" spans="2:11">
      <c r="B43" s="23" t="str">
        <f t="shared" si="3"/>
        <v>Meta 4</v>
      </c>
      <c r="C43" s="14" t="str">
        <f>IF('O4'!$B$21="","",'O4'!$B$21)</f>
        <v/>
      </c>
      <c r="D43" s="14" t="str">
        <f>IF('O4'!$B21="","",'O4'!$D21)</f>
        <v/>
      </c>
      <c r="E43" s="13">
        <f>IF(C43="",0,COUNTIF('AP4'!$D$12:$E$111,AuxPlan!C43))</f>
        <v>0</v>
      </c>
      <c r="F43" s="13">
        <f>COUNTIFS('AP4'!$K$12:$K$111,Data!$K$5,'AP4'!$D$12:$D$111,AuxPlan!$C43)</f>
        <v>0</v>
      </c>
      <c r="G43" s="13">
        <f>COUNTIFS('AP4'!$K$12:$K$111,Data!$K$3,'AP4'!$D$12:$D$111,AuxPlan!$C43)</f>
        <v>0</v>
      </c>
      <c r="H43" s="13">
        <f>COUNTIFS('AP4'!$K$12:$K$111,Data!$K$2,'AP4'!$D$12:$D$111,AuxPlan!$C43)</f>
        <v>0</v>
      </c>
      <c r="I43" s="79">
        <f ca="1">COUNTIFS('AP4'!$L$12:$L$111,$I$1,'AP4'!$D$12:$D$111,AuxPlan!$C43)</f>
        <v>0</v>
      </c>
      <c r="J43" s="76" t="str">
        <f ca="1">IFERROR(AVERAGEIF('AP4'!$D$12:$E$111,C43,'AP4'!$J$12:$J$1011),"")</f>
        <v/>
      </c>
      <c r="K43">
        <f>IFERROR(VLOOKUP(C43,'AP4'!$D$12:$E$111,1,),0)</f>
        <v>0</v>
      </c>
    </row>
    <row r="44" spans="2:11">
      <c r="B44" s="18" t="str">
        <f>IF(Goals!C16="","",Goals!B16)</f>
        <v>Meta 5</v>
      </c>
      <c r="C44" s="12" t="str">
        <f>IF('O5'!$B$12="","",'O5'!$B$12)</f>
        <v>Lanzar una tienda en línea funcional antes de marzo de 2026.</v>
      </c>
      <c r="D44" s="12" t="str">
        <f>IF('O5'!$B12="","",'O5'!$D12)</f>
        <v>Tecnología / Sistemas / Innovación</v>
      </c>
      <c r="E44" s="68">
        <f>IF(C44="",0,COUNTIF('AP5'!$D$12:$E$111,AuxPlan!C44))</f>
        <v>0</v>
      </c>
      <c r="F44" s="68">
        <f>COUNTIFS('AP5'!$K$12:$K$111,Data!$K$5,'AP5'!$D$12:$D$111,AuxPlan!$C44)</f>
        <v>0</v>
      </c>
      <c r="G44" s="68">
        <f>COUNTIFS('AP5'!$K$12:$K$111,Data!$K$3,'AP5'!$D$12:$D$111,AuxPlan!$C44)</f>
        <v>0</v>
      </c>
      <c r="H44" s="68">
        <f>COUNTIFS('AP5'!$K$12:$K$111,Data!$K$2,'AP5'!$D$12:$D$111,AuxPlan!$C44)</f>
        <v>0</v>
      </c>
      <c r="I44" s="80">
        <f ca="1">COUNTIFS('AP5'!$L$12:$L$111,$I$1,'AP5'!$D$12:$D$111,AuxPlan!$C44)</f>
        <v>0</v>
      </c>
      <c r="J44" s="75" t="str">
        <f ca="1">IFERROR(AVERAGEIF('AP5'!$D$12:$E$111,C44,'AP5'!$J$12:$J$1011),"")</f>
        <v/>
      </c>
      <c r="K44">
        <f>IFERROR(VLOOKUP(C44,'AP5'!$D$12:$E$111,1,),0)</f>
        <v>0</v>
      </c>
    </row>
    <row r="45" spans="2:11">
      <c r="B45" s="23" t="str">
        <f>B44</f>
        <v>Meta 5</v>
      </c>
      <c r="C45" t="str">
        <f>IF('O5'!$B$13="","",'O5'!$B$13)</f>
        <v>Generar $1,000,000 MXN en ventas digitales acumuladas para diciembre de 2026.</v>
      </c>
      <c r="D45" t="str">
        <f>IF('O5'!$B13="","",'O5'!$D13)</f>
        <v>Comercialización (Marketing y Ventas)</v>
      </c>
      <c r="E45" s="9">
        <f>IF(C45="",0,COUNTIF('AP5'!$D$12:$E$111,AuxPlan!C45))</f>
        <v>0</v>
      </c>
      <c r="F45" s="9">
        <f>COUNTIFS('AP5'!$K$12:$K$111,Data!$K$5,'AP5'!$D$12:$D$111,AuxPlan!$C45)</f>
        <v>0</v>
      </c>
      <c r="G45" s="9">
        <f>COUNTIFS('AP5'!$K$12:$K$111,Data!$K$3,'AP5'!$D$12:$D$111,AuxPlan!$C45)</f>
        <v>0</v>
      </c>
      <c r="H45" s="9">
        <f>COUNTIFS('AP5'!$K$12:$K$111,Data!$K$2,'AP5'!$D$12:$D$111,AuxPlan!$C45)</f>
        <v>0</v>
      </c>
      <c r="I45" s="78">
        <f ca="1">COUNTIFS('AP5'!$L$12:$L$111,$I$1,'AP5'!$D$12:$D$111,AuxPlan!$C45)</f>
        <v>0</v>
      </c>
      <c r="J45" s="75" t="str">
        <f ca="1">IFERROR(AVERAGEIF('AP5'!$D$12:$E$111,C45,'AP5'!$J$12:$J$1011),"")</f>
        <v/>
      </c>
      <c r="K45">
        <f>IFERROR(VLOOKUP(C45,'AP5'!$D$12:$E$111,1,),0)</f>
        <v>0</v>
      </c>
    </row>
    <row r="46" spans="2:11">
      <c r="B46" s="23" t="str">
        <f t="shared" ref="B46:B53" si="4">B45</f>
        <v>Meta 5</v>
      </c>
      <c r="C46">
        <f>IF('O5'!$B$13="","",'O5'!$B$14)</f>
        <v>0</v>
      </c>
      <c r="D46" t="str">
        <f>IF('O5'!$B14="","",'O5'!$D14)</f>
        <v/>
      </c>
      <c r="E46" s="9">
        <f>IF(C46="",0,COUNTIF('AP5'!$D$12:$E$111,AuxPlan!C46))</f>
        <v>0</v>
      </c>
      <c r="F46" s="9">
        <f>COUNTIFS('AP5'!$K$12:$K$111,Data!$K$5,'AP5'!$D$12:$D$111,AuxPlan!$C46)</f>
        <v>0</v>
      </c>
      <c r="G46" s="9">
        <f>COUNTIFS('AP5'!$K$12:$K$111,Data!$K$3,'AP5'!$D$12:$D$111,AuxPlan!$C46)</f>
        <v>0</v>
      </c>
      <c r="H46" s="9">
        <f>COUNTIFS('AP5'!$K$12:$K$111,Data!$K$2,'AP5'!$D$12:$D$111,AuxPlan!$C46)</f>
        <v>0</v>
      </c>
      <c r="I46" s="78">
        <f ca="1">COUNTIFS('AP5'!$L$12:$L$111,$I$1,'AP5'!$D$12:$D$111,AuxPlan!$C46)</f>
        <v>0</v>
      </c>
      <c r="J46" s="75" t="str">
        <f ca="1">IFERROR(AVERAGEIF('AP5'!$D$12:$E$111,C46,'AP5'!$J$12:$J$1011),"")</f>
        <v/>
      </c>
      <c r="K46">
        <f>IFERROR(VLOOKUP(C46,'AP5'!$D$12:$E$111,1,),0)</f>
        <v>0</v>
      </c>
    </row>
    <row r="47" spans="2:11">
      <c r="B47" s="23" t="str">
        <f t="shared" si="4"/>
        <v>Meta 5</v>
      </c>
      <c r="C47" t="str">
        <f>IF('O5'!$B$15="","",'O5'!$B$15)</f>
        <v/>
      </c>
      <c r="D47" t="str">
        <f>IF('O5'!$B15="","",'O5'!$D15)</f>
        <v/>
      </c>
      <c r="E47" s="9">
        <f>IF(C47="",0,COUNTIF('AP5'!$D$12:$E$111,AuxPlan!C47))</f>
        <v>0</v>
      </c>
      <c r="F47" s="9">
        <f>COUNTIFS('AP5'!$K$12:$K$111,Data!$K$5,'AP5'!$D$12:$D$111,AuxPlan!$C47)</f>
        <v>0</v>
      </c>
      <c r="G47" s="9">
        <f>COUNTIFS('AP5'!$K$12:$K$111,Data!$K$3,'AP5'!$D$12:$D$111,AuxPlan!$C47)</f>
        <v>0</v>
      </c>
      <c r="H47" s="9">
        <f>COUNTIFS('AP5'!$K$12:$K$111,Data!$K$2,'AP5'!$D$12:$D$111,AuxPlan!$C47)</f>
        <v>0</v>
      </c>
      <c r="I47" s="78">
        <f ca="1">COUNTIFS('AP5'!$L$12:$L$111,$I$1,'AP5'!$D$12:$D$111,AuxPlan!$C47)</f>
        <v>0</v>
      </c>
      <c r="J47" s="75" t="str">
        <f ca="1">IFERROR(AVERAGEIF('AP5'!$D$12:$E$111,C47,'AP5'!$J$12:$J$1011),"")</f>
        <v/>
      </c>
      <c r="K47">
        <f>IFERROR(VLOOKUP(C47,'AP5'!$D$12:$E$111,1,),0)</f>
        <v>0</v>
      </c>
    </row>
    <row r="48" spans="2:11">
      <c r="B48" s="23" t="str">
        <f t="shared" si="4"/>
        <v>Meta 5</v>
      </c>
      <c r="C48" t="str">
        <f>IF('O5'!$B$16="","",'O5'!$B$16)</f>
        <v/>
      </c>
      <c r="D48" t="str">
        <f>IF('O5'!$B16="","",'O5'!$D16)</f>
        <v/>
      </c>
      <c r="E48" s="9">
        <f>IF(C48="",0,COUNTIF('AP5'!$D$12:$E$111,AuxPlan!C48))</f>
        <v>0</v>
      </c>
      <c r="F48" s="9">
        <f>COUNTIFS('AP5'!$K$12:$K$111,Data!$K$5,'AP5'!$D$12:$D$111,AuxPlan!$C48)</f>
        <v>0</v>
      </c>
      <c r="G48" s="9">
        <f>COUNTIFS('AP5'!$K$12:$K$111,Data!$K$3,'AP5'!$D$12:$D$111,AuxPlan!$C48)</f>
        <v>0</v>
      </c>
      <c r="H48" s="9">
        <f>COUNTIFS('AP5'!$K$12:$K$111,Data!$K$2,'AP5'!$D$12:$D$111,AuxPlan!$C48)</f>
        <v>0</v>
      </c>
      <c r="I48" s="78">
        <f ca="1">COUNTIFS('AP5'!$L$12:$L$111,$I$1,'AP5'!$D$12:$D$111,AuxPlan!$C48)</f>
        <v>0</v>
      </c>
      <c r="J48" s="75" t="str">
        <f ca="1">IFERROR(AVERAGEIF('AP5'!$D$12:$E$111,C48,'AP5'!$J$12:$J$1011),"")</f>
        <v/>
      </c>
      <c r="K48">
        <f>IFERROR(VLOOKUP(C48,'AP5'!$D$12:$E$111,1,),0)</f>
        <v>0</v>
      </c>
    </row>
    <row r="49" spans="2:11">
      <c r="B49" s="23" t="str">
        <f t="shared" si="4"/>
        <v>Meta 5</v>
      </c>
      <c r="C49" t="str">
        <f>IF('O5'!$B$17="","",'O5'!$B$17)</f>
        <v/>
      </c>
      <c r="D49" t="str">
        <f>IF('O5'!$B17="","",'O5'!$D17)</f>
        <v/>
      </c>
      <c r="E49" s="9">
        <f>IF(C49="",0,COUNTIF('AP5'!$D$12:$E$111,AuxPlan!C49))</f>
        <v>0</v>
      </c>
      <c r="F49" s="9">
        <f>COUNTIFS('AP5'!$K$12:$K$111,Data!$K$5,'AP5'!$D$12:$D$111,AuxPlan!$C49)</f>
        <v>0</v>
      </c>
      <c r="G49" s="9">
        <f>COUNTIFS('AP5'!$K$12:$K$111,Data!$K$3,'AP5'!$D$12:$D$111,AuxPlan!$C49)</f>
        <v>0</v>
      </c>
      <c r="H49" s="9">
        <f>COUNTIFS('AP5'!$K$12:$K$111,Data!$K$2,'AP5'!$D$12:$D$111,AuxPlan!$C49)</f>
        <v>0</v>
      </c>
      <c r="I49" s="78">
        <f ca="1">COUNTIFS('AP5'!$L$12:$L$111,$I$1,'AP5'!$D$12:$D$111,AuxPlan!$C49)</f>
        <v>0</v>
      </c>
      <c r="J49" s="75" t="str">
        <f ca="1">IFERROR(AVERAGEIF('AP5'!$D$12:$E$111,C49,'AP5'!$J$12:$J$1011),"")</f>
        <v/>
      </c>
      <c r="K49">
        <f>IFERROR(VLOOKUP(C49,'AP5'!$D$12:$E$111,1,),0)</f>
        <v>0</v>
      </c>
    </row>
    <row r="50" spans="2:11">
      <c r="B50" s="23" t="str">
        <f t="shared" si="4"/>
        <v>Meta 5</v>
      </c>
      <c r="C50" t="str">
        <f>IF('O5'!$B$18="","",'O5'!$B$18)</f>
        <v/>
      </c>
      <c r="D50" t="str">
        <f>IF('O5'!$B18="","",'O5'!$D18)</f>
        <v/>
      </c>
      <c r="E50" s="9">
        <f>IF(C50="",0,COUNTIF('AP5'!$D$12:$E$111,AuxPlan!C50))</f>
        <v>0</v>
      </c>
      <c r="F50" s="9">
        <f>COUNTIFS('AP5'!$K$12:$K$111,Data!$K$5,'AP5'!$D$12:$D$111,AuxPlan!$C50)</f>
        <v>0</v>
      </c>
      <c r="G50" s="9">
        <f>COUNTIFS('AP5'!$K$12:$K$111,Data!$K$3,'AP5'!$D$12:$D$111,AuxPlan!$C50)</f>
        <v>0</v>
      </c>
      <c r="H50" s="9">
        <f>COUNTIFS('AP5'!$K$12:$K$111,Data!$K$2,'AP5'!$D$12:$D$111,AuxPlan!$C50)</f>
        <v>0</v>
      </c>
      <c r="I50" s="78">
        <f ca="1">COUNTIFS('AP5'!$L$12:$L$111,$I$1,'AP5'!$D$12:$D$111,AuxPlan!$C50)</f>
        <v>0</v>
      </c>
      <c r="J50" s="75" t="str">
        <f ca="1">IFERROR(AVERAGEIF('AP5'!$D$12:$E$111,C50,'AP5'!$J$12:$J$1011),"")</f>
        <v/>
      </c>
      <c r="K50">
        <f>IFERROR(VLOOKUP(C50,'AP5'!$D$12:$E$111,1,),0)</f>
        <v>0</v>
      </c>
    </row>
    <row r="51" spans="2:11">
      <c r="B51" s="23" t="str">
        <f t="shared" si="4"/>
        <v>Meta 5</v>
      </c>
      <c r="C51" t="str">
        <f>IF('O5'!$B$19="","",'O5'!$B$19)</f>
        <v/>
      </c>
      <c r="D51" t="str">
        <f>IF('O5'!$B19="","",'O5'!$D19)</f>
        <v/>
      </c>
      <c r="E51" s="9">
        <f>IF(C51="",0,COUNTIF('AP5'!$D$12:$E$111,AuxPlan!C51))</f>
        <v>0</v>
      </c>
      <c r="F51" s="9">
        <f>COUNTIFS('AP5'!$K$12:$K$111,Data!$K$5,'AP5'!$D$12:$D$111,AuxPlan!$C51)</f>
        <v>0</v>
      </c>
      <c r="G51" s="9">
        <f>COUNTIFS('AP5'!$K$12:$K$111,Data!$K$3,'AP5'!$D$12:$D$111,AuxPlan!$C51)</f>
        <v>0</v>
      </c>
      <c r="H51" s="9">
        <f>COUNTIFS('AP5'!$K$12:$K$111,Data!$K$2,'AP5'!$D$12:$D$111,AuxPlan!$C51)</f>
        <v>0</v>
      </c>
      <c r="I51" s="78">
        <f ca="1">COUNTIFS('AP5'!$L$12:$L$111,$I$1,'AP5'!$D$12:$D$111,AuxPlan!$C51)</f>
        <v>0</v>
      </c>
      <c r="J51" s="75" t="str">
        <f ca="1">IFERROR(AVERAGEIF('AP5'!$D$12:$E$111,C51,'AP5'!$J$12:$J$1011),"")</f>
        <v/>
      </c>
      <c r="K51">
        <f>IFERROR(VLOOKUP(C51,'AP5'!$D$12:$E$111,1,),0)</f>
        <v>0</v>
      </c>
    </row>
    <row r="52" spans="2:11">
      <c r="B52" s="23" t="str">
        <f t="shared" si="4"/>
        <v>Meta 5</v>
      </c>
      <c r="C52" t="str">
        <f>IF('O5'!$B$20="","",'O5'!$B$20)</f>
        <v/>
      </c>
      <c r="D52" t="str">
        <f>IF('O5'!$B20="","",'O5'!$D20)</f>
        <v/>
      </c>
      <c r="E52" s="9">
        <f>IF(C52="",0,COUNTIF('AP5'!$D$12:$E$111,AuxPlan!C52))</f>
        <v>0</v>
      </c>
      <c r="F52" s="9">
        <f>COUNTIFS('AP5'!$K$12:$K$111,Data!$K$5,'AP5'!$D$12:$D$111,AuxPlan!$C52)</f>
        <v>0</v>
      </c>
      <c r="G52" s="9">
        <f>COUNTIFS('AP5'!$K$12:$K$111,Data!$K$3,'AP5'!$D$12:$D$111,AuxPlan!$C52)</f>
        <v>0</v>
      </c>
      <c r="H52" s="9">
        <f>COUNTIFS('AP5'!$K$12:$K$111,Data!$K$2,'AP5'!$D$12:$D$111,AuxPlan!$C52)</f>
        <v>0</v>
      </c>
      <c r="I52" s="78">
        <f ca="1">COUNTIFS('AP5'!$L$12:$L$111,$I$1,'AP5'!$D$12:$D$111,AuxPlan!$C52)</f>
        <v>0</v>
      </c>
      <c r="J52" s="75" t="str">
        <f ca="1">IFERROR(AVERAGEIF('AP5'!$D$12:$E$111,C52,'AP5'!$J$12:$J$1011),"")</f>
        <v/>
      </c>
      <c r="K52">
        <f>IFERROR(VLOOKUP(C52,'AP5'!$D$12:$E$111,1,),0)</f>
        <v>0</v>
      </c>
    </row>
    <row r="53" spans="2:11">
      <c r="B53" s="23" t="str">
        <f t="shared" si="4"/>
        <v>Meta 5</v>
      </c>
      <c r="C53" s="14" t="str">
        <f>IF('O5'!$B$21="","",'O5'!$B$21)</f>
        <v/>
      </c>
      <c r="D53" s="14" t="str">
        <f>IF('O5'!$B21="","",'O5'!$D21)</f>
        <v/>
      </c>
      <c r="E53" s="13">
        <f>IF(C53="",0,COUNTIF('AP5'!$D$12:$E$111,AuxPlan!C53))</f>
        <v>0</v>
      </c>
      <c r="F53" s="13">
        <f>COUNTIFS('AP5'!$K$12:$K$111,Data!$K$5,'AP5'!$D$12:$D$111,AuxPlan!$C53)</f>
        <v>0</v>
      </c>
      <c r="G53" s="13">
        <f>COUNTIFS('AP5'!$K$12:$K$111,Data!$K$3,'AP5'!$D$12:$D$111,AuxPlan!$C53)</f>
        <v>0</v>
      </c>
      <c r="H53" s="13">
        <f>COUNTIFS('AP5'!$K$12:$K$111,Data!$K$2,'AP5'!$D$12:$D$111,AuxPlan!$C53)</f>
        <v>0</v>
      </c>
      <c r="I53" s="79">
        <f ca="1">COUNTIFS('AP5'!$L$12:$L$111,$I$1,'AP5'!$D$12:$D$111,AuxPlan!$C53)</f>
        <v>0</v>
      </c>
      <c r="J53" s="75" t="str">
        <f ca="1">IFERROR(AVERAGEIF('AP5'!$D$12:$E$111,C53,'AP5'!$J$12:$J$1011),"")</f>
        <v/>
      </c>
      <c r="K53">
        <f>IFERROR(VLOOKUP(C53,'AP5'!$D$12:$E$111,1,),0)</f>
        <v>0</v>
      </c>
    </row>
    <row r="54" spans="2:11">
      <c r="B54" s="18" t="str">
        <f>IF(Goals!C17="","",Goals!B17)</f>
        <v>Meta 6</v>
      </c>
      <c r="C54" s="12" t="str">
        <f>IF('O6'!$B$12="","",'O6'!$B$12)</f>
        <v>Implementar un plan anual de capacitación para todos los colaboradores antes de enero de 2026.</v>
      </c>
      <c r="D54" s="12" t="str">
        <f>IF('O6'!$B12="","",'O6'!$D12)</f>
        <v>Recursos Humanos</v>
      </c>
      <c r="E54" s="68">
        <f>IF(C54="",0,COUNTIF('AP6'!$D$12:$E$111,AuxPlan!C54))</f>
        <v>0</v>
      </c>
      <c r="F54" s="68">
        <f>COUNTIFS('AP6'!$K$12:$K$111,Data!$K$5,'AP6'!$D$12:$D$111,AuxPlan!$C54)</f>
        <v>0</v>
      </c>
      <c r="G54" s="68">
        <f>COUNTIFS('AP6'!$K$12:$K$111,Data!$K$3,'AP6'!$D$12:$D$111,AuxPlan!$C54)</f>
        <v>0</v>
      </c>
      <c r="H54" s="68">
        <f>COUNTIFS('AP6'!$K$12:$K$111,Data!$K$2,'AP6'!$D$12:$D$111,AuxPlan!$C54)</f>
        <v>0</v>
      </c>
      <c r="I54" s="80">
        <f ca="1">COUNTIFS('AP6'!$L$12:$L$111,$I$1,'AP6'!$D$12:$D$111,AuxPlan!$C54)</f>
        <v>0</v>
      </c>
      <c r="J54" s="77" t="str">
        <f ca="1">IFERROR(AVERAGEIF('AP6'!$D$12:$E$111,C54,'AP6'!$J$12:$J$1011),"")</f>
        <v/>
      </c>
      <c r="K54">
        <f>IFERROR(VLOOKUP(C54,'AP6'!$D$12:$E$111,1,),0)</f>
        <v>0</v>
      </c>
    </row>
    <row r="55" spans="2:11">
      <c r="B55" s="23" t="str">
        <f>B54</f>
        <v>Meta 6</v>
      </c>
      <c r="C55" t="str">
        <f>IF('O6'!$B$13="","",'O6'!$B$13)</f>
        <v>Lograr que el 80% del personal operativo participe en al menos una capacitación al año.</v>
      </c>
      <c r="D55" t="str">
        <f>IF('O6'!$B13="","",'O6'!$D13)</f>
        <v>Recursos Humanos</v>
      </c>
      <c r="E55" s="9">
        <f>IF(C55="",0,COUNTIF('AP6'!$D$12:$E$111,AuxPlan!C55))</f>
        <v>0</v>
      </c>
      <c r="F55" s="9">
        <f>COUNTIFS('AP6'!$K$12:$K$111,Data!$K$5,'AP6'!$D$12:$D$111,AuxPlan!$C55)</f>
        <v>0</v>
      </c>
      <c r="G55" s="9">
        <f>COUNTIFS('AP6'!$K$12:$K$111,Data!$K$3,'AP6'!$D$12:$D$111,AuxPlan!$C55)</f>
        <v>0</v>
      </c>
      <c r="H55" s="9">
        <f>COUNTIFS('AP6'!$K$12:$K$111,Data!$K$2,'AP6'!$D$12:$D$111,AuxPlan!$C55)</f>
        <v>0</v>
      </c>
      <c r="I55" s="78">
        <f ca="1">COUNTIFS('AP6'!$L$12:$L$111,$I$1,'AP6'!$D$12:$D$111,AuxPlan!$C55)</f>
        <v>0</v>
      </c>
      <c r="J55" s="75" t="str">
        <f ca="1">IFERROR(AVERAGEIF('AP6'!$D$12:$E$111,C55,'AP6'!$J$12:$J$1011),"")</f>
        <v/>
      </c>
      <c r="K55">
        <f>IFERROR(VLOOKUP(C55,'AP6'!$D$12:$E$111,1,),0)</f>
        <v>0</v>
      </c>
    </row>
    <row r="56" spans="2:11">
      <c r="B56" s="23" t="str">
        <f t="shared" ref="B56:B63" si="5">B55</f>
        <v>Meta 6</v>
      </c>
      <c r="C56">
        <f>IF('O6'!$B$13="","",'O6'!$B$14)</f>
        <v>0</v>
      </c>
      <c r="D56" t="str">
        <f>IF('O6'!$B14="","",'O6'!$D14)</f>
        <v/>
      </c>
      <c r="E56" s="9">
        <f>IF(C56="",0,COUNTIF('AP6'!$D$12:$E$111,AuxPlan!C56))</f>
        <v>0</v>
      </c>
      <c r="F56" s="9">
        <f>COUNTIFS('AP6'!$K$12:$K$111,Data!$K$5,'AP6'!$D$12:$D$111,AuxPlan!$C56)</f>
        <v>0</v>
      </c>
      <c r="G56" s="9">
        <f>COUNTIFS('AP6'!$K$12:$K$111,Data!$K$3,'AP6'!$D$12:$D$111,AuxPlan!$C56)</f>
        <v>0</v>
      </c>
      <c r="H56" s="9">
        <f>COUNTIFS('AP6'!$K$12:$K$111,Data!$K$2,'AP6'!$D$12:$D$111,AuxPlan!$C56)</f>
        <v>0</v>
      </c>
      <c r="I56" s="78">
        <f ca="1">COUNTIFS('AP6'!$L$12:$L$111,$I$1,'AP6'!$D$12:$D$111,AuxPlan!$C56)</f>
        <v>0</v>
      </c>
      <c r="J56" s="75" t="str">
        <f ca="1">IFERROR(AVERAGEIF('AP6'!$D$12:$E$111,C56,'AP6'!$J$12:$J$1011),"")</f>
        <v/>
      </c>
      <c r="K56">
        <f>IFERROR(VLOOKUP(C56,'AP6'!$D$12:$E$111,1,),0)</f>
        <v>0</v>
      </c>
    </row>
    <row r="57" spans="2:11">
      <c r="B57" s="23" t="str">
        <f t="shared" si="5"/>
        <v>Meta 6</v>
      </c>
      <c r="C57" t="str">
        <f>IF('O6'!$B$15="","",'O6'!$B$15)</f>
        <v/>
      </c>
      <c r="D57" t="str">
        <f>IF('O6'!$B15="","",'O6'!$D15)</f>
        <v/>
      </c>
      <c r="E57" s="9">
        <f>IF(C57="",0,COUNTIF('AP6'!$D$12:$E$111,AuxPlan!C57))</f>
        <v>0</v>
      </c>
      <c r="F57" s="9">
        <f>COUNTIFS('AP6'!$K$12:$K$111,Data!$K$5,'AP6'!$D$12:$D$111,AuxPlan!$C57)</f>
        <v>0</v>
      </c>
      <c r="G57" s="9">
        <f>COUNTIFS('AP6'!$K$12:$K$111,Data!$K$3,'AP6'!$D$12:$D$111,AuxPlan!$C57)</f>
        <v>0</v>
      </c>
      <c r="H57" s="9">
        <f>COUNTIFS('AP6'!$K$12:$K$111,Data!$K$2,'AP6'!$D$12:$D$111,AuxPlan!$C57)</f>
        <v>0</v>
      </c>
      <c r="I57" s="78">
        <f ca="1">COUNTIFS('AP6'!$L$12:$L$111,$I$1,'AP6'!$D$12:$D$111,AuxPlan!$C57)</f>
        <v>0</v>
      </c>
      <c r="J57" s="75" t="str">
        <f ca="1">IFERROR(AVERAGEIF('AP6'!$D$12:$E$111,C57,'AP6'!$J$12:$J$1011),"")</f>
        <v/>
      </c>
      <c r="K57">
        <f>IFERROR(VLOOKUP(C57,'AP6'!$D$12:$E$111,1,),0)</f>
        <v>0</v>
      </c>
    </row>
    <row r="58" spans="2:11">
      <c r="B58" s="23" t="str">
        <f t="shared" si="5"/>
        <v>Meta 6</v>
      </c>
      <c r="C58" t="str">
        <f>IF('O6'!$B$16="","",'O6'!$B$16)</f>
        <v/>
      </c>
      <c r="D58" t="str">
        <f>IF('O6'!$B16="","",'O6'!$D16)</f>
        <v/>
      </c>
      <c r="E58" s="9">
        <f>IF(C58="",0,COUNTIF('AP6'!$D$12:$E$111,AuxPlan!C58))</f>
        <v>0</v>
      </c>
      <c r="F58" s="9">
        <f>COUNTIFS('AP6'!$K$12:$K$111,Data!$K$5,'AP6'!$D$12:$D$111,AuxPlan!$C58)</f>
        <v>0</v>
      </c>
      <c r="G58" s="9">
        <f>COUNTIFS('AP6'!$K$12:$K$111,Data!$K$3,'AP6'!$D$12:$D$111,AuxPlan!$C58)</f>
        <v>0</v>
      </c>
      <c r="H58" s="9">
        <f>COUNTIFS('AP6'!$K$12:$K$111,Data!$K$2,'AP6'!$D$12:$D$111,AuxPlan!$C58)</f>
        <v>0</v>
      </c>
      <c r="I58" s="78">
        <f ca="1">COUNTIFS('AP6'!$L$12:$L$111,$I$1,'AP6'!$D$12:$D$111,AuxPlan!$C58)</f>
        <v>0</v>
      </c>
      <c r="J58" s="75" t="str">
        <f ca="1">IFERROR(AVERAGEIF('AP6'!$D$12:$E$111,C58,'AP6'!$J$12:$J$1011),"")</f>
        <v/>
      </c>
      <c r="K58">
        <f>IFERROR(VLOOKUP(C58,'AP6'!$D$12:$E$111,1,),0)</f>
        <v>0</v>
      </c>
    </row>
    <row r="59" spans="2:11">
      <c r="B59" s="23" t="str">
        <f t="shared" si="5"/>
        <v>Meta 6</v>
      </c>
      <c r="C59" t="str">
        <f>IF('O6'!$B$17="","",'O6'!$B$17)</f>
        <v/>
      </c>
      <c r="D59" t="str">
        <f>IF('O6'!$B17="","",'O6'!$D17)</f>
        <v/>
      </c>
      <c r="E59" s="9">
        <f>IF(C59="",0,COUNTIF('AP6'!$D$12:$E$111,AuxPlan!C59))</f>
        <v>0</v>
      </c>
      <c r="F59" s="9">
        <f>COUNTIFS('AP6'!$K$12:$K$111,Data!$K$5,'AP6'!$D$12:$D$111,AuxPlan!$C59)</f>
        <v>0</v>
      </c>
      <c r="G59" s="9">
        <f>COUNTIFS('AP6'!$K$12:$K$111,Data!$K$3,'AP6'!$D$12:$D$111,AuxPlan!$C59)</f>
        <v>0</v>
      </c>
      <c r="H59" s="9">
        <f>COUNTIFS('AP6'!$K$12:$K$111,Data!$K$2,'AP6'!$D$12:$D$111,AuxPlan!$C59)</f>
        <v>0</v>
      </c>
      <c r="I59" s="78">
        <f ca="1">COUNTIFS('AP6'!$L$12:$L$111,$I$1,'AP6'!$D$12:$D$111,AuxPlan!$C59)</f>
        <v>0</v>
      </c>
      <c r="J59" s="75" t="str">
        <f ca="1">IFERROR(AVERAGEIF('AP6'!$D$12:$E$111,C59,'AP6'!$J$12:$J$1011),"")</f>
        <v/>
      </c>
      <c r="K59">
        <f>IFERROR(VLOOKUP(C59,'AP6'!$D$12:$E$111,1,),0)</f>
        <v>0</v>
      </c>
    </row>
    <row r="60" spans="2:11">
      <c r="B60" s="23" t="str">
        <f t="shared" si="5"/>
        <v>Meta 6</v>
      </c>
      <c r="C60" t="str">
        <f>IF('O6'!$B$18="","",'O6'!$B$18)</f>
        <v/>
      </c>
      <c r="D60" t="str">
        <f>IF('O6'!$B18="","",'O6'!$D18)</f>
        <v/>
      </c>
      <c r="E60" s="9">
        <f>IF(C60="",0,COUNTIF('AP6'!$D$12:$E$111,AuxPlan!C60))</f>
        <v>0</v>
      </c>
      <c r="F60" s="9">
        <f>COUNTIFS('AP6'!$K$12:$K$111,Data!$K$5,'AP6'!$D$12:$D$111,AuxPlan!$C60)</f>
        <v>0</v>
      </c>
      <c r="G60" s="9">
        <f>COUNTIFS('AP6'!$K$12:$K$111,Data!$K$3,'AP6'!$D$12:$D$111,AuxPlan!$C60)</f>
        <v>0</v>
      </c>
      <c r="H60" s="9">
        <f>COUNTIFS('AP6'!$K$12:$K$111,Data!$K$2,'AP6'!$D$12:$D$111,AuxPlan!$C60)</f>
        <v>0</v>
      </c>
      <c r="I60" s="78">
        <f ca="1">COUNTIFS('AP6'!$L$12:$L$111,$I$1,'AP6'!$D$12:$D$111,AuxPlan!$C60)</f>
        <v>0</v>
      </c>
      <c r="J60" s="75" t="str">
        <f ca="1">IFERROR(AVERAGEIF('AP6'!$D$12:$E$111,C60,'AP6'!$J$12:$J$1011),"")</f>
        <v/>
      </c>
      <c r="K60">
        <f>IFERROR(VLOOKUP(C60,'AP6'!$D$12:$E$111,1,),0)</f>
        <v>0</v>
      </c>
    </row>
    <row r="61" spans="2:11">
      <c r="B61" s="23" t="str">
        <f t="shared" si="5"/>
        <v>Meta 6</v>
      </c>
      <c r="C61" t="str">
        <f>IF('O6'!$B$19="","",'O6'!$B$19)</f>
        <v/>
      </c>
      <c r="D61" t="str">
        <f>IF('O6'!$B19="","",'O6'!$D19)</f>
        <v/>
      </c>
      <c r="E61" s="9">
        <f>IF(C61="",0,COUNTIF('AP6'!$D$12:$E$111,AuxPlan!C61))</f>
        <v>0</v>
      </c>
      <c r="F61" s="9">
        <f>COUNTIFS('AP6'!$K$12:$K$111,Data!$K$5,'AP6'!$D$12:$D$111,AuxPlan!$C61)</f>
        <v>0</v>
      </c>
      <c r="G61" s="9">
        <f>COUNTIFS('AP6'!$K$12:$K$111,Data!$K$3,'AP6'!$D$12:$D$111,AuxPlan!$C61)</f>
        <v>0</v>
      </c>
      <c r="H61" s="9">
        <f>COUNTIFS('AP6'!$K$12:$K$111,Data!$K$2,'AP6'!$D$12:$D$111,AuxPlan!$C61)</f>
        <v>0</v>
      </c>
      <c r="I61" s="78">
        <f ca="1">COUNTIFS('AP6'!$L$12:$L$111,$I$1,'AP6'!$D$12:$D$111,AuxPlan!$C61)</f>
        <v>0</v>
      </c>
      <c r="J61" s="75" t="str">
        <f ca="1">IFERROR(AVERAGEIF('AP6'!$D$12:$E$111,C61,'AP6'!$J$12:$J$1011),"")</f>
        <v/>
      </c>
      <c r="K61">
        <f>IFERROR(VLOOKUP(C61,'AP6'!$D$12:$E$111,1,),0)</f>
        <v>0</v>
      </c>
    </row>
    <row r="62" spans="2:11">
      <c r="B62" s="23" t="str">
        <f t="shared" si="5"/>
        <v>Meta 6</v>
      </c>
      <c r="C62" t="str">
        <f>IF('O6'!$B$20="","",'O6'!$B$20)</f>
        <v/>
      </c>
      <c r="D62" t="str">
        <f>IF('O6'!$B20="","",'O6'!$D20)</f>
        <v/>
      </c>
      <c r="E62" s="9">
        <f>IF(C62="",0,COUNTIF('AP6'!$D$12:$E$111,AuxPlan!C62))</f>
        <v>0</v>
      </c>
      <c r="F62" s="9">
        <f>COUNTIFS('AP6'!$K$12:$K$111,Data!$K$5,'AP6'!$D$12:$D$111,AuxPlan!$C62)</f>
        <v>0</v>
      </c>
      <c r="G62" s="9">
        <f>COUNTIFS('AP6'!$K$12:$K$111,Data!$K$3,'AP6'!$D$12:$D$111,AuxPlan!$C62)</f>
        <v>0</v>
      </c>
      <c r="H62" s="9">
        <f>COUNTIFS('AP6'!$K$12:$K$111,Data!$K$2,'AP6'!$D$12:$D$111,AuxPlan!$C62)</f>
        <v>0</v>
      </c>
      <c r="I62" s="78">
        <f ca="1">COUNTIFS('AP6'!$L$12:$L$111,$I$1,'AP6'!$D$12:$D$111,AuxPlan!$C62)</f>
        <v>0</v>
      </c>
      <c r="J62" s="75" t="str">
        <f ca="1">IFERROR(AVERAGEIF('AP6'!$D$12:$E$111,C62,'AP6'!$J$12:$J$1011),"")</f>
        <v/>
      </c>
      <c r="K62">
        <f>IFERROR(VLOOKUP(C62,'AP6'!$D$12:$E$111,1,),0)</f>
        <v>0</v>
      </c>
    </row>
    <row r="63" spans="2:11">
      <c r="B63" s="24" t="str">
        <f t="shared" si="5"/>
        <v>Meta 6</v>
      </c>
      <c r="C63" s="14" t="str">
        <f>IF('O6'!$B$21="","",'O6'!$B$21)</f>
        <v/>
      </c>
      <c r="D63" s="14" t="str">
        <f>IF('O6'!$B21="","",'O6'!$D21)</f>
        <v/>
      </c>
      <c r="E63" s="13">
        <f>IF(C63="",0,COUNTIF('AP6'!$D$12:$E$111,AuxPlan!C63))</f>
        <v>0</v>
      </c>
      <c r="F63" s="13">
        <f>COUNTIFS('AP6'!$K$12:$K$111,Data!$K$5,'AP6'!$D$12:$D$111,AuxPlan!$C63)</f>
        <v>0</v>
      </c>
      <c r="G63" s="13">
        <f>COUNTIFS('AP6'!$K$12:$K$111,Data!$K$3,'AP6'!$D$12:$D$111,AuxPlan!$C63)</f>
        <v>0</v>
      </c>
      <c r="H63" s="13">
        <f>COUNTIFS('AP6'!$K$12:$K$111,Data!$K$2,'AP6'!$D$12:$D$111,AuxPlan!$C63)</f>
        <v>0</v>
      </c>
      <c r="I63" s="79">
        <f ca="1">COUNTIFS('AP6'!$L$12:$L$111,$I$1,'AP6'!$D$12:$D$111,AuxPlan!$C63)</f>
        <v>0</v>
      </c>
      <c r="J63" s="76" t="str">
        <f ca="1">IFERROR(AVERAGEIF('AP6'!$D$12:$E$111,C63,'AP6'!$J$12:$J$1011),"")</f>
        <v/>
      </c>
      <c r="K63">
        <f>IFERROR(VLOOKUP(C63,'AP6'!$D$12:$E$111,1,),0)</f>
        <v>0</v>
      </c>
    </row>
    <row r="64" spans="2:11">
      <c r="E64" s="9">
        <f>SUM(E4:E63)</f>
        <v>4</v>
      </c>
      <c r="F64" s="9">
        <f>SUM(F4:F63)</f>
        <v>2</v>
      </c>
      <c r="G64" s="9">
        <f>SUM(G4:G63)</f>
        <v>2</v>
      </c>
      <c r="H64" s="9">
        <f>SUM(H4:H63)</f>
        <v>0</v>
      </c>
      <c r="I64" s="9">
        <f ca="1">SUM(I4:I63)</f>
        <v>0</v>
      </c>
    </row>
    <row r="66" spans="2:10" s="10" customFormat="1" ht="20" customHeight="1">
      <c r="B66" s="10" t="str">
        <f>B4</f>
        <v>Meta 1</v>
      </c>
      <c r="C66" s="81">
        <f ca="1">IFERROR(AVERAGE(J4:J13),0)</f>
        <v>0.2</v>
      </c>
      <c r="D66" s="67" t="s">
        <v>123</v>
      </c>
      <c r="J66" s="83">
        <f>Settings!E28</f>
        <v>1</v>
      </c>
    </row>
    <row r="67" spans="2:10" s="10" customFormat="1" ht="20" customHeight="1">
      <c r="B67" s="10" t="str">
        <f>B14</f>
        <v>Meta 2</v>
      </c>
      <c r="C67" s="81">
        <f ca="1">IFERROR(AVERAGE(J14:J23),0)</f>
        <v>0</v>
      </c>
      <c r="D67" s="67" t="s">
        <v>123</v>
      </c>
      <c r="J67" s="83">
        <f>Settings!E29</f>
        <v>0.7</v>
      </c>
    </row>
    <row r="68" spans="2:10" s="10" customFormat="1" ht="20" customHeight="1">
      <c r="B68" s="10" t="str">
        <f>B24</f>
        <v>Meta 3</v>
      </c>
      <c r="C68" s="81">
        <f ca="1">IFERROR(AVERAGE(J24:J33),0)</f>
        <v>0.05</v>
      </c>
      <c r="D68" s="67" t="s">
        <v>123</v>
      </c>
    </row>
    <row r="69" spans="2:10" s="10" customFormat="1" ht="20" customHeight="1">
      <c r="B69" s="10" t="str">
        <f>B34</f>
        <v>Meta 4</v>
      </c>
      <c r="C69" s="81">
        <f ca="1">IFERROR(AVERAGE(J34:J43),0)</f>
        <v>0</v>
      </c>
      <c r="D69" s="67" t="s">
        <v>123</v>
      </c>
    </row>
    <row r="70" spans="2:10" s="10" customFormat="1" ht="20" customHeight="1">
      <c r="B70" s="10" t="str">
        <f>B44</f>
        <v>Meta 5</v>
      </c>
      <c r="C70" s="81">
        <f ca="1">IFERROR(AVERAGE(J44:J53),0)</f>
        <v>0</v>
      </c>
      <c r="D70" s="67" t="s">
        <v>123</v>
      </c>
    </row>
    <row r="71" spans="2:10" s="10" customFormat="1" ht="20" customHeight="1">
      <c r="B71" s="10" t="str">
        <f>B54</f>
        <v>Meta 6</v>
      </c>
      <c r="C71" s="81">
        <f ca="1">IFERROR(AVERAGE(J54:J63),0)</f>
        <v>0</v>
      </c>
      <c r="D71" s="67" t="s">
        <v>123</v>
      </c>
    </row>
    <row r="72" spans="2:10" ht="21.5" customHeight="1">
      <c r="B72" s="10" t="s">
        <v>85</v>
      </c>
      <c r="C72" s="85">
        <f ca="1">IFERROR(AVERAGE(J4:J63),0)</f>
        <v>7.5000000000000011E-2</v>
      </c>
      <c r="D72" s="67" t="s">
        <v>123</v>
      </c>
    </row>
    <row r="74" spans="2:10">
      <c r="C74" s="10"/>
      <c r="D74" s="10"/>
      <c r="E74" s="10"/>
    </row>
    <row r="75" spans="2:10">
      <c r="C75" s="9" t="s">
        <v>149</v>
      </c>
      <c r="D75" s="9" t="s">
        <v>150</v>
      </c>
      <c r="E75" s="9" t="s">
        <v>151</v>
      </c>
      <c r="F75" s="9" t="s">
        <v>152</v>
      </c>
      <c r="G75" s="9" t="s">
        <v>153</v>
      </c>
      <c r="H75" s="9" t="s">
        <v>154</v>
      </c>
      <c r="I75" s="9" t="s">
        <v>85</v>
      </c>
    </row>
    <row r="76" spans="2:10">
      <c r="B76" t="str">
        <f>IF(Teams!C18="","",Teams!C18)</f>
        <v/>
      </c>
      <c r="C76" s="86" t="str">
        <f>IFERROR(AVERAGEIF('AP1'!$F$12:$F$111,AuxPlan!$B76,'AP1'!$J$12:$J$111),"")</f>
        <v/>
      </c>
      <c r="D76" s="86" t="str">
        <f>IFERROR(AVERAGEIF('AP2'!$F$12:$F$111,AuxPlan!$B76,'AP2'!$J$12:$J$111),"")</f>
        <v/>
      </c>
      <c r="E76" s="86" t="str">
        <f>IFERROR(AVERAGEIF('AP3'!$F$12:$F$111,AuxPlan!$B76,'AP3'!$J$12:$J$111),"")</f>
        <v/>
      </c>
      <c r="F76" s="86" t="str">
        <f>IFERROR(AVERAGEIF('AP4'!$F$12:$F$111,AuxPlan!$B76,'AP4'!$J$12:$J$111),"")</f>
        <v/>
      </c>
      <c r="G76" s="86" t="str">
        <f>IFERROR(AVERAGEIF('AP5'!$F$12:$F$111,AuxPlan!$B76,'AP5'!$J$12:$J$111),"")</f>
        <v/>
      </c>
      <c r="H76" s="86" t="str">
        <f>IFERROR(AVERAGEIF('AP6'!$F$12:$F$111,AuxPlan!$B76,'AP6'!$J$12:$J$111),"")</f>
        <v/>
      </c>
      <c r="I76" s="84">
        <f>IFERROR(AVERAGEIF(C76:H76,"&lt;&gt;",C76:H76),0)</f>
        <v>0</v>
      </c>
    </row>
    <row r="77" spans="2:10">
      <c r="B77" t="str">
        <f>IF(Teams!C17="","",Teams!C17)</f>
        <v/>
      </c>
      <c r="C77" s="86" t="str">
        <f>IFERROR(AVERAGEIF('AP1'!$F$12:$F$111,AuxPlan!$B77,'AP1'!$J$12:$J$111),"")</f>
        <v/>
      </c>
      <c r="D77" s="86" t="str">
        <f>IFERROR(AVERAGEIF('AP2'!$F$12:$F$111,AuxPlan!$B77,'AP2'!$J$12:$J$111),"")</f>
        <v/>
      </c>
      <c r="E77" s="86" t="str">
        <f>IFERROR(AVERAGEIF('AP3'!$F$12:$F$111,AuxPlan!$B77,'AP3'!$J$12:$J$111),"")</f>
        <v/>
      </c>
      <c r="F77" s="86" t="str">
        <f>IFERROR(AVERAGEIF('AP4'!$F$12:$F$111,AuxPlan!$B77,'AP4'!$J$12:$J$111),"")</f>
        <v/>
      </c>
      <c r="G77" s="86" t="str">
        <f>IFERROR(AVERAGEIF('AP5'!$F$12:$F$111,AuxPlan!$B77,'AP5'!$J$12:$J$111),"")</f>
        <v/>
      </c>
      <c r="H77" s="86" t="str">
        <f>IFERROR(AVERAGEIF('AP6'!$F$12:$F$111,AuxPlan!$B77,'AP6'!$J$12:$J$111),"")</f>
        <v/>
      </c>
      <c r="I77" s="84">
        <f t="shared" ref="I77:I83" si="6">IFERROR(AVERAGEIF(C77:H77,"&lt;&gt;",C77:H77),0)</f>
        <v>0</v>
      </c>
    </row>
    <row r="78" spans="2:10">
      <c r="B78" t="str">
        <f>IF(Teams!C16="","",Teams!C16)</f>
        <v>Luisa García. Tecnología / Sistemas / Innovación</v>
      </c>
      <c r="C78" s="86" t="str">
        <f>IFERROR(AVERAGEIF('AP1'!$F$12:$F$111,AuxPlan!$B78,'AP1'!$J$12:$J$111),"")</f>
        <v/>
      </c>
      <c r="D78" s="86" t="str">
        <f>IFERROR(AVERAGEIF('AP2'!$F$12:$F$111,AuxPlan!$B78,'AP2'!$J$12:$J$111),"")</f>
        <v/>
      </c>
      <c r="E78" s="86" t="str">
        <f>IFERROR(AVERAGEIF('AP3'!$F$12:$F$111,AuxPlan!$B78,'AP3'!$J$12:$J$111),"")</f>
        <v/>
      </c>
      <c r="F78" s="86" t="str">
        <f>IFERROR(AVERAGEIF('AP4'!$F$12:$F$111,AuxPlan!$B78,'AP4'!$J$12:$J$111),"")</f>
        <v/>
      </c>
      <c r="G78" s="86" t="str">
        <f>IFERROR(AVERAGEIF('AP5'!$F$12:$F$111,AuxPlan!$B78,'AP5'!$J$12:$J$111),"")</f>
        <v/>
      </c>
      <c r="H78" s="86" t="str">
        <f>IFERROR(AVERAGEIF('AP6'!$F$12:$F$111,AuxPlan!$B78,'AP6'!$J$12:$J$111),"")</f>
        <v/>
      </c>
      <c r="I78" s="84">
        <f t="shared" si="6"/>
        <v>0</v>
      </c>
    </row>
    <row r="79" spans="2:10">
      <c r="B79" t="str">
        <f>IF(Teams!C15="","",Teams!C15)</f>
        <v>José Ramírez. Recursos Humanos</v>
      </c>
      <c r="C79" s="86" t="str">
        <f>IFERROR(AVERAGEIF('AP1'!$F$12:$F$111,AuxPlan!$B79,'AP1'!$J$12:$J$111),"")</f>
        <v/>
      </c>
      <c r="D79" s="86" t="str">
        <f>IFERROR(AVERAGEIF('AP2'!$F$12:$F$111,AuxPlan!$B79,'AP2'!$J$12:$J$111),"")</f>
        <v/>
      </c>
      <c r="E79" s="86" t="str">
        <f>IFERROR(AVERAGEIF('AP3'!$F$12:$F$111,AuxPlan!$B79,'AP3'!$J$12:$J$111),"")</f>
        <v/>
      </c>
      <c r="F79" s="86" t="str">
        <f>IFERROR(AVERAGEIF('AP4'!$F$12:$F$111,AuxPlan!$B79,'AP4'!$J$12:$J$111),"")</f>
        <v/>
      </c>
      <c r="G79" s="86" t="str">
        <f>IFERROR(AVERAGEIF('AP5'!$F$12:$F$111,AuxPlan!$B79,'AP5'!$J$12:$J$111),"")</f>
        <v/>
      </c>
      <c r="H79" s="86" t="str">
        <f>IFERROR(AVERAGEIF('AP6'!$F$12:$F$111,AuxPlan!$B79,'AP6'!$J$12:$J$111),"")</f>
        <v/>
      </c>
      <c r="I79" s="84">
        <f t="shared" si="6"/>
        <v>0</v>
      </c>
    </row>
    <row r="80" spans="2:10">
      <c r="B80" t="str">
        <f>IF(Teams!C14="","",Teams!C14)</f>
        <v>Guadalupe Vázquez. Comercialización (Marketing y Ventas)</v>
      </c>
      <c r="C80" s="86" t="str">
        <f>IFERROR(AVERAGEIF('AP1'!$F$12:$F$111,AuxPlan!$B80,'AP1'!$J$12:$J$111),"")</f>
        <v/>
      </c>
      <c r="D80" s="86" t="str">
        <f>IFERROR(AVERAGEIF('AP2'!$F$12:$F$111,AuxPlan!$B80,'AP2'!$J$12:$J$111),"")</f>
        <v/>
      </c>
      <c r="E80" s="86">
        <f>IFERROR(AVERAGEIF('AP3'!$F$12:$F$111,AuxPlan!$B80,'AP3'!$J$12:$J$111),"")</f>
        <v>0.05</v>
      </c>
      <c r="F80" s="86" t="str">
        <f>IFERROR(AVERAGEIF('AP4'!$F$12:$F$111,AuxPlan!$B80,'AP4'!$J$12:$J$111),"")</f>
        <v/>
      </c>
      <c r="G80" s="86" t="str">
        <f>IFERROR(AVERAGEIF('AP5'!$F$12:$F$111,AuxPlan!$B80,'AP5'!$J$12:$J$111),"")</f>
        <v/>
      </c>
      <c r="H80" s="86" t="str">
        <f>IFERROR(AVERAGEIF('AP6'!$F$12:$F$111,AuxPlan!$B80,'AP6'!$J$12:$J$111),"")</f>
        <v/>
      </c>
      <c r="I80" s="84">
        <f t="shared" si="6"/>
        <v>0.05</v>
      </c>
    </row>
    <row r="81" spans="2:9">
      <c r="B81" t="str">
        <f>IF(Teams!C13="","",Teams!C13)</f>
        <v>Héctor Márquez. Operaciones / Producción</v>
      </c>
      <c r="C81" s="86" t="str">
        <f>IFERROR(AVERAGEIF('AP1'!$F$12:$F$111,AuxPlan!$B81,'AP1'!$J$12:$J$111),"")</f>
        <v/>
      </c>
      <c r="D81" s="86">
        <f>IFERROR(AVERAGEIF('AP2'!$F$12:$F$111,AuxPlan!$B81,'AP2'!$J$12:$J$111),"")</f>
        <v>0</v>
      </c>
      <c r="E81" s="86" t="str">
        <f>IFERROR(AVERAGEIF('AP3'!$F$12:$F$111,AuxPlan!$B81,'AP3'!$J$12:$J$111),"")</f>
        <v/>
      </c>
      <c r="F81" s="86" t="str">
        <f>IFERROR(AVERAGEIF('AP4'!$F$12:$F$111,AuxPlan!$B81,'AP4'!$J$12:$J$111),"")</f>
        <v/>
      </c>
      <c r="G81" s="86" t="str">
        <f>IFERROR(AVERAGEIF('AP5'!$F$12:$F$111,AuxPlan!$B81,'AP5'!$J$12:$J$111),"")</f>
        <v/>
      </c>
      <c r="H81" s="86" t="str">
        <f>IFERROR(AVERAGEIF('AP6'!$F$12:$F$111,AuxPlan!$B81,'AP6'!$J$12:$J$111),"")</f>
        <v/>
      </c>
      <c r="I81" s="84">
        <f t="shared" si="6"/>
        <v>0</v>
      </c>
    </row>
    <row r="82" spans="2:9">
      <c r="B82" t="str">
        <f>IF(Teams!C12="","",Teams!C12)</f>
        <v>María López. Administración</v>
      </c>
      <c r="C82" s="86" t="str">
        <f>IFERROR(AVERAGEIF('AP1'!$F$12:$F$111,AuxPlan!$B82,'AP1'!$J$12:$J$111),"")</f>
        <v/>
      </c>
      <c r="D82" s="86" t="str">
        <f>IFERROR(AVERAGEIF('AP2'!$F$12:$F$111,AuxPlan!$B82,'AP2'!$J$12:$J$111),"")</f>
        <v/>
      </c>
      <c r="E82" s="86" t="str">
        <f>IFERROR(AVERAGEIF('AP3'!$F$12:$F$111,AuxPlan!$B82,'AP3'!$J$12:$J$111),"")</f>
        <v/>
      </c>
      <c r="F82" s="86" t="str">
        <f>IFERROR(AVERAGEIF('AP4'!$F$12:$F$111,AuxPlan!$B82,'AP4'!$J$12:$J$111),"")</f>
        <v/>
      </c>
      <c r="G82" s="86" t="str">
        <f>IFERROR(AVERAGEIF('AP5'!$F$12:$F$111,AuxPlan!$B82,'AP5'!$J$12:$J$111),"")</f>
        <v/>
      </c>
      <c r="H82" s="86" t="str">
        <f>IFERROR(AVERAGEIF('AP6'!$F$12:$F$111,AuxPlan!$B82,'AP6'!$J$12:$J$111),"")</f>
        <v/>
      </c>
      <c r="I82" s="84">
        <f t="shared" si="6"/>
        <v>0</v>
      </c>
    </row>
    <row r="83" spans="2:9">
      <c r="B83" t="str">
        <f>IF(Teams!C11="","",Teams!C11)</f>
        <v>Juan Pérez. Dirección/Gerencia General (Alta Dirección)</v>
      </c>
      <c r="C83" s="86">
        <f>IFERROR(AVERAGEIF('AP1'!$F$12:$F$111,AuxPlan!$B83,'AP1'!$J$12:$J$111),"")</f>
        <v>0.2</v>
      </c>
      <c r="D83" s="86" t="str">
        <f>IFERROR(AVERAGEIF('AP2'!$F$12:$F$111,AuxPlan!$B83,'AP2'!$J$12:$J$111),"")</f>
        <v/>
      </c>
      <c r="E83" s="86" t="str">
        <f>IFERROR(AVERAGEIF('AP3'!$F$12:$F$111,AuxPlan!$B83,'AP3'!$J$12:$J$111),"")</f>
        <v/>
      </c>
      <c r="F83" s="86" t="str">
        <f>IFERROR(AVERAGEIF('AP4'!$F$12:$F$111,AuxPlan!$B83,'AP4'!$J$12:$J$111),"")</f>
        <v/>
      </c>
      <c r="G83" s="86" t="str">
        <f>IFERROR(AVERAGEIF('AP5'!$F$12:$F$111,AuxPlan!$B83,'AP5'!$J$12:$J$111),"")</f>
        <v/>
      </c>
      <c r="H83" s="86" t="str">
        <f>IFERROR(AVERAGEIF('AP6'!$F$12:$F$111,AuxPlan!$B83,'AP6'!$J$12:$J$111),"")</f>
        <v/>
      </c>
      <c r="I83" s="84">
        <f t="shared" si="6"/>
        <v>0.2</v>
      </c>
    </row>
    <row r="84" spans="2:9">
      <c r="D84" s="10"/>
      <c r="E84" s="10"/>
    </row>
    <row r="85" spans="2:9">
      <c r="D85" s="10"/>
      <c r="E85" s="10"/>
    </row>
    <row r="86" spans="2:9">
      <c r="B86" t="str">
        <f>IF(SA!C11="","",SA!C11)</f>
        <v>Dirección/Gerencia General (Alta Dirección)</v>
      </c>
      <c r="C86" s="86">
        <f ca="1">IFERROR(AVERAGEIF($D$4:$D$63,B86,$J$4:$J$63),0)</f>
        <v>0.2</v>
      </c>
      <c r="D86" s="10"/>
      <c r="E86" s="10"/>
    </row>
    <row r="87" spans="2:9">
      <c r="B87" t="str">
        <f>IF(SA!C12="","",SA!C12)</f>
        <v>Administración</v>
      </c>
      <c r="C87" s="86">
        <f t="shared" ref="C87:C93" ca="1" si="7">IFERROR(AVERAGEIF($D$4:$D$63,B87,$J$4:$J$63),0)</f>
        <v>0</v>
      </c>
      <c r="D87" s="10"/>
      <c r="E87" s="10"/>
    </row>
    <row r="88" spans="2:9">
      <c r="B88" t="str">
        <f>IF(SA!C13="","",SA!C13)</f>
        <v>Operaciones / Producción</v>
      </c>
      <c r="C88" s="86">
        <f t="shared" ca="1" si="7"/>
        <v>0</v>
      </c>
      <c r="D88" s="10"/>
      <c r="E88" s="10"/>
    </row>
    <row r="89" spans="2:9">
      <c r="B89" t="str">
        <f>IF(SA!C14="","",SA!C14)</f>
        <v>Comercialización (Marketing y Ventas)</v>
      </c>
      <c r="C89" s="86">
        <f t="shared" ca="1" si="7"/>
        <v>0.05</v>
      </c>
      <c r="D89" s="10"/>
      <c r="E89" s="10"/>
    </row>
    <row r="90" spans="2:9">
      <c r="B90" t="str">
        <f>IF(SA!C15="","",SA!C15)</f>
        <v>Recursos Humanos</v>
      </c>
      <c r="C90" s="86">
        <f t="shared" ca="1" si="7"/>
        <v>0</v>
      </c>
      <c r="D90" s="10"/>
      <c r="E90" s="10"/>
    </row>
    <row r="91" spans="2:9">
      <c r="B91" t="str">
        <f>IF(SA!C16="","",SA!C16)</f>
        <v>Tecnología / Sistemas / Innovación</v>
      </c>
      <c r="C91" s="86">
        <f t="shared" ca="1" si="7"/>
        <v>0</v>
      </c>
      <c r="D91" s="10"/>
      <c r="E91" s="10"/>
    </row>
    <row r="92" spans="2:9">
      <c r="B92" t="str">
        <f>IF(SA!C17="","",SA!C17)</f>
        <v/>
      </c>
      <c r="C92" s="86">
        <f t="shared" ca="1" si="7"/>
        <v>0</v>
      </c>
      <c r="D92" s="10"/>
      <c r="E92" s="10"/>
    </row>
    <row r="93" spans="2:9">
      <c r="B93" t="str">
        <f>IF(SA!C18="","",SA!C18)</f>
        <v/>
      </c>
      <c r="C93" s="86">
        <f t="shared" ca="1" si="7"/>
        <v>0</v>
      </c>
      <c r="D93" s="10"/>
      <c r="E93" s="10"/>
    </row>
    <row r="94" spans="2:9">
      <c r="D94" s="10"/>
      <c r="E94" s="10"/>
    </row>
    <row r="95" spans="2:9">
      <c r="D95" s="10"/>
      <c r="E95" s="10"/>
    </row>
    <row r="96" spans="2:9">
      <c r="B96" t="str">
        <f>IF(Goals!$C$17="","",Goals!$C$17)</f>
        <v>Desarrollar y fidelizar al talento humano de la empresa.</v>
      </c>
      <c r="C96" s="81" t="e">
        <f ca="1">AVERAGE(J54:J63)</f>
        <v>#DIV/0!</v>
      </c>
      <c r="D96" s="10"/>
      <c r="E96" s="10"/>
    </row>
    <row r="97" spans="2:5">
      <c r="B97" t="str">
        <f>IF(Goals!$C$16="","",Goals!$C$16)</f>
        <v>Incrementar las ventas a través de plataformas digitales.</v>
      </c>
      <c r="C97" s="81" t="e">
        <f ca="1">AVERAGE(J44:J53)</f>
        <v>#DIV/0!</v>
      </c>
      <c r="D97" s="10"/>
      <c r="E97" s="10"/>
    </row>
    <row r="98" spans="2:5">
      <c r="B98" t="str">
        <f>IF(Goals!$C$15="","",Goals!$C$15)</f>
        <v>Asegurar la calidad e inocuidad de los productos en todos los procesos de la planta.</v>
      </c>
      <c r="C98" s="81" t="e">
        <f ca="1">AVERAGE(J34:J43)</f>
        <v>#DIV/0!</v>
      </c>
      <c r="D98" s="10"/>
      <c r="E98" s="10"/>
    </row>
    <row r="99" spans="2:5">
      <c r="B99" t="str">
        <f>IF(Goals!$C$14="","",Goals!$C$14)</f>
        <v>Fortalecer el posicionamiento de la marca Caracolitos a nivel nacional.</v>
      </c>
      <c r="C99" s="81">
        <f ca="1">AVERAGE(J24:J33)</f>
        <v>0.05</v>
      </c>
      <c r="D99" s="10"/>
      <c r="E99" s="10"/>
    </row>
    <row r="100" spans="2:5">
      <c r="B100" t="str">
        <f>IF(Goals!$C$13="","",Goals!$C$13)</f>
        <v>Mejorar la productividad de los procesos operativos en planta.</v>
      </c>
      <c r="C100" s="81">
        <f ca="1">AVERAGE(J14:J23)</f>
        <v>0</v>
      </c>
      <c r="D100" s="10"/>
      <c r="E100" s="10"/>
    </row>
    <row r="101" spans="2:5">
      <c r="B101" t="str">
        <f>IF(Goals!$C$12="","",Goals!$C$12)</f>
        <v>Expandir la presencia nacional de Caracolitos mediante la apertura de nuevas sucursales.</v>
      </c>
      <c r="C101" s="81">
        <f ca="1">AVERAGE(J4:J13)</f>
        <v>0.2</v>
      </c>
      <c r="D101" s="10"/>
      <c r="E101" s="10"/>
    </row>
    <row r="102" spans="2:5">
      <c r="C102" s="10"/>
      <c r="D102" s="10"/>
      <c r="E102" s="10"/>
    </row>
    <row r="103" spans="2:5">
      <c r="C103" s="10" t="str">
        <f>Data!K5</f>
        <v>No iniciado</v>
      </c>
      <c r="D103" s="10" t="str">
        <f>Data!K3</f>
        <v>En progreso</v>
      </c>
      <c r="E103" s="10" t="str">
        <f>Data!K2</f>
        <v>Concluido</v>
      </c>
    </row>
    <row r="104" spans="2:5">
      <c r="B104" t="str">
        <f>IF(Goals!$C$17="","",Goals!$C$17)</f>
        <v>Desarrollar y fidelizar al talento humano de la empresa.</v>
      </c>
      <c r="C104" s="10">
        <f>SUM(F54:F63)</f>
        <v>0</v>
      </c>
      <c r="D104" s="10">
        <f>SUM(G54:G63)</f>
        <v>0</v>
      </c>
      <c r="E104" s="10">
        <f>SUM(H54:H63)</f>
        <v>0</v>
      </c>
    </row>
    <row r="105" spans="2:5">
      <c r="B105" t="str">
        <f>IF(Goals!$C$16="","",Goals!$C$16)</f>
        <v>Incrementar las ventas a través de plataformas digitales.</v>
      </c>
      <c r="C105" s="9">
        <f>SUM(F44:F53)</f>
        <v>0</v>
      </c>
      <c r="D105" s="9">
        <f>SUM(G44:G53)</f>
        <v>0</v>
      </c>
      <c r="E105" s="9">
        <f>SUM(H44:H53)</f>
        <v>0</v>
      </c>
    </row>
    <row r="106" spans="2:5">
      <c r="B106" t="str">
        <f>IF(Goals!$C$15="","",Goals!$C$15)</f>
        <v>Asegurar la calidad e inocuidad de los productos en todos los procesos de la planta.</v>
      </c>
      <c r="C106" s="9">
        <f>SUM(F34:F43)</f>
        <v>0</v>
      </c>
      <c r="D106" s="9">
        <f>SUM(G34:G43)</f>
        <v>0</v>
      </c>
      <c r="E106" s="9">
        <f>SUM(H34:H43)</f>
        <v>0</v>
      </c>
    </row>
    <row r="107" spans="2:5">
      <c r="B107" t="str">
        <f>IF(Goals!$C$14="","",Goals!$C$14)</f>
        <v>Fortalecer el posicionamiento de la marca Caracolitos a nivel nacional.</v>
      </c>
      <c r="C107" s="9">
        <f>SUM(F24:F33)</f>
        <v>1</v>
      </c>
      <c r="D107" s="9">
        <f>SUM(G24:G33)</f>
        <v>1</v>
      </c>
      <c r="E107" s="9">
        <f>SUM(H24:H33)</f>
        <v>0</v>
      </c>
    </row>
    <row r="108" spans="2:5">
      <c r="B108" t="str">
        <f>IF(Goals!$C$13="","",Goals!$C$13)</f>
        <v>Mejorar la productividad de los procesos operativos en planta.</v>
      </c>
      <c r="C108" s="9">
        <f>SUM(F14:F23)</f>
        <v>1</v>
      </c>
      <c r="D108" s="9">
        <f>SUM(G14:G23)</f>
        <v>0</v>
      </c>
      <c r="E108" s="9">
        <f>SUM(H14:H23)</f>
        <v>0</v>
      </c>
    </row>
    <row r="109" spans="2:5">
      <c r="B109" t="str">
        <f>IF(Goals!$C$12="","",Goals!$C$12)</f>
        <v>Expandir la presencia nacional de Caracolitos mediante la apertura de nuevas sucursales.</v>
      </c>
      <c r="C109" s="9">
        <f>SUM(F4:F13)</f>
        <v>0</v>
      </c>
      <c r="D109" s="9">
        <f>SUM(G4:G13)</f>
        <v>1</v>
      </c>
      <c r="E109" s="9">
        <f>SUM(H4:H13)</f>
        <v>0</v>
      </c>
    </row>
    <row r="114" spans="3:3">
      <c r="C114" s="10"/>
    </row>
  </sheetData>
  <conditionalFormatting sqref="D66:D71">
    <cfRule type="expression" dxfId="3" priority="1">
      <formula>$C66=0</formula>
    </cfRule>
  </conditionalFormatting>
  <conditionalFormatting sqref="D66:D72">
    <cfRule type="expression" dxfId="2" priority="6">
      <formula>$C66&lt;$J$67</formula>
    </cfRule>
    <cfRule type="expression" dxfId="1" priority="8">
      <formula>$C66&lt;$J$66</formula>
    </cfRule>
    <cfRule type="expression" dxfId="0" priority="9">
      <formula>$C66&gt;=$J$66</formula>
    </cfRule>
  </conditionalFormatting>
  <pageMargins left="0.7" right="0.7" top="0.75" bottom="0.75" header="0.3" footer="0.3"/>
  <pageSetup paperSize="9" orientation="portrait" r:id="rId1"/>
  <ignoredErrors>
    <ignoredError sqref="B14:B24 B54 B44 B34"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2"/>
  <dimension ref="A1:L15"/>
  <sheetViews>
    <sheetView showGridLines="0" workbookViewId="0">
      <selection activeCell="T4" sqref="T4"/>
    </sheetView>
  </sheetViews>
  <sheetFormatPr baseColWidth="10" defaultColWidth="8.83203125" defaultRowHeight="15"/>
  <cols>
    <col min="1" max="4" width="11.83203125" customWidth="1"/>
    <col min="5" max="5" width="14.5" customWidth="1"/>
    <col min="6" max="6" width="19" customWidth="1"/>
    <col min="7" max="7" width="18.6640625" customWidth="1"/>
    <col min="8" max="8" width="12.83203125" customWidth="1"/>
    <col min="9" max="9" width="12.5" bestFit="1" customWidth="1"/>
  </cols>
  <sheetData>
    <row r="1" spans="1:12">
      <c r="A1" s="3" t="s">
        <v>5</v>
      </c>
      <c r="B1" s="16">
        <f>Settings!C13</f>
        <v>2025</v>
      </c>
      <c r="C1" s="16" t="s">
        <v>106</v>
      </c>
      <c r="D1" s="3" t="s">
        <v>32</v>
      </c>
      <c r="E1" s="3" t="s">
        <v>33</v>
      </c>
      <c r="F1" s="3" t="s">
        <v>34</v>
      </c>
      <c r="G1" s="3" t="s">
        <v>35</v>
      </c>
      <c r="H1" s="3" t="s">
        <v>59</v>
      </c>
      <c r="I1" s="3" t="s">
        <v>58</v>
      </c>
      <c r="J1" s="7" t="s">
        <v>83</v>
      </c>
      <c r="K1" s="3" t="s">
        <v>92</v>
      </c>
      <c r="L1" s="3" t="s">
        <v>105</v>
      </c>
    </row>
    <row r="2" spans="1:12">
      <c r="A2" t="str">
        <f>Lan!F122</f>
        <v>ENE</v>
      </c>
      <c r="B2" s="17">
        <f>DATE($B$1,12,1)</f>
        <v>45992</v>
      </c>
      <c r="C2" s="17">
        <f>EOMONTH(B2,0)</f>
        <v>46022</v>
      </c>
      <c r="D2" t="str">
        <f>Lan!F134</f>
        <v>Eneero</v>
      </c>
      <c r="G2" s="4" t="str">
        <f>Lan!B10</f>
        <v>English</v>
      </c>
      <c r="H2" t="s">
        <v>62</v>
      </c>
      <c r="I2" t="s">
        <v>71</v>
      </c>
      <c r="J2" s="8" t="str">
        <f>Lan!F50</f>
        <v>Suma</v>
      </c>
      <c r="K2" s="11" t="str">
        <f>Lan!F71</f>
        <v>Concluido</v>
      </c>
      <c r="L2" t="str">
        <f>Lan!F60</f>
        <v>Acumulado</v>
      </c>
    </row>
    <row r="3" spans="1:12">
      <c r="A3" t="str">
        <f>Lan!F123</f>
        <v>FEB</v>
      </c>
      <c r="B3" s="17">
        <f>DATE($B$1,1,1)</f>
        <v>45658</v>
      </c>
      <c r="C3" s="17">
        <f>EOMONTH(B3,12)</f>
        <v>46053</v>
      </c>
      <c r="D3" t="str">
        <f>Lan!F135</f>
        <v>Febrero</v>
      </c>
      <c r="G3" s="4">
        <f>Lan!C10</f>
        <v>0</v>
      </c>
      <c r="H3" t="s">
        <v>63</v>
      </c>
      <c r="I3" t="s">
        <v>72</v>
      </c>
      <c r="J3" s="8" t="str">
        <f>Lan!F51</f>
        <v>Promedio</v>
      </c>
      <c r="K3" s="11" t="str">
        <f>Lan!F72</f>
        <v>En progreso</v>
      </c>
      <c r="L3" t="str">
        <f>Lan!F61</f>
        <v>TOTAL</v>
      </c>
    </row>
    <row r="4" spans="1:12">
      <c r="A4" t="str">
        <f>Lan!F124</f>
        <v>MAR</v>
      </c>
      <c r="B4" s="17">
        <f>DATE($B$1,2,1)</f>
        <v>45689</v>
      </c>
      <c r="C4" s="17">
        <f>EOMONTH(B4,12)</f>
        <v>46081</v>
      </c>
      <c r="D4" t="str">
        <f>Lan!F136</f>
        <v>Marzo</v>
      </c>
      <c r="G4" s="4">
        <f>Lan!D10</f>
        <v>0</v>
      </c>
      <c r="H4" t="s">
        <v>64</v>
      </c>
      <c r="J4" s="8" t="str">
        <f>Lan!F53</f>
        <v>Último valor</v>
      </c>
      <c r="K4" s="11" t="str">
        <f>Lan!F73</f>
        <v>Atrasado</v>
      </c>
    </row>
    <row r="5" spans="1:12">
      <c r="A5" t="str">
        <f>Lan!F125</f>
        <v>ABR</v>
      </c>
      <c r="B5" s="17">
        <f>DATE($B$1,3,1)</f>
        <v>45717</v>
      </c>
      <c r="C5" s="17">
        <f t="shared" ref="C5:C13" si="0">EOMONTH(B5,12)</f>
        <v>46112</v>
      </c>
      <c r="D5" t="str">
        <f>Lan!F137</f>
        <v>Abril</v>
      </c>
      <c r="G5" s="4" t="str">
        <f>Lan!E10</f>
        <v>Español</v>
      </c>
      <c r="H5" t="s">
        <v>70</v>
      </c>
      <c r="K5" s="11" t="str">
        <f>Lan!F74</f>
        <v>No iniciado</v>
      </c>
    </row>
    <row r="6" spans="1:12">
      <c r="A6" t="str">
        <f>Lan!F126</f>
        <v>MAY</v>
      </c>
      <c r="B6" s="17">
        <f>DATE($B$1,4,1)</f>
        <v>45748</v>
      </c>
      <c r="C6" s="17">
        <f t="shared" si="0"/>
        <v>46142</v>
      </c>
      <c r="D6" t="str">
        <f>Lan!F138</f>
        <v>Mayo</v>
      </c>
      <c r="H6" t="s">
        <v>65</v>
      </c>
    </row>
    <row r="7" spans="1:12">
      <c r="A7" t="str">
        <f>Lan!F127</f>
        <v>JUN</v>
      </c>
      <c r="B7" s="17">
        <f>DATE($B$1,5,1)</f>
        <v>45778</v>
      </c>
      <c r="C7" s="17">
        <f t="shared" si="0"/>
        <v>46173</v>
      </c>
      <c r="D7" t="str">
        <f>Lan!F139</f>
        <v>Junio</v>
      </c>
      <c r="H7" t="s">
        <v>87</v>
      </c>
    </row>
    <row r="8" spans="1:12">
      <c r="A8" t="str">
        <f>Lan!F128</f>
        <v>JUL</v>
      </c>
      <c r="B8" s="17">
        <f>DATE($B$1,6,1)</f>
        <v>45809</v>
      </c>
      <c r="C8" s="17">
        <f t="shared" si="0"/>
        <v>46203</v>
      </c>
      <c r="D8" t="str">
        <f>Lan!F140</f>
        <v>Julio</v>
      </c>
      <c r="H8" t="s">
        <v>66</v>
      </c>
    </row>
    <row r="9" spans="1:12">
      <c r="A9" t="str">
        <f>Lan!F129</f>
        <v>AGO</v>
      </c>
      <c r="B9" s="17">
        <f>DATE($B$1,7,1)</f>
        <v>45839</v>
      </c>
      <c r="C9" s="17">
        <f t="shared" si="0"/>
        <v>46234</v>
      </c>
      <c r="D9" t="str">
        <f>Lan!F141</f>
        <v>Agosto</v>
      </c>
      <c r="H9" t="s">
        <v>67</v>
      </c>
    </row>
    <row r="10" spans="1:12">
      <c r="A10" t="str">
        <f>Lan!F130</f>
        <v>SEP</v>
      </c>
      <c r="B10" s="17">
        <f>DATE($B$1,8,1)</f>
        <v>45870</v>
      </c>
      <c r="C10" s="17">
        <f t="shared" si="0"/>
        <v>46265</v>
      </c>
      <c r="D10" t="str">
        <f>Lan!F142</f>
        <v>Septiembre</v>
      </c>
      <c r="H10" t="s">
        <v>68</v>
      </c>
    </row>
    <row r="11" spans="1:12">
      <c r="A11" t="str">
        <f>Lan!F131</f>
        <v>OCT</v>
      </c>
      <c r="B11" s="17">
        <f>DATE($B$1,9,1)</f>
        <v>45901</v>
      </c>
      <c r="C11" s="17">
        <f t="shared" si="0"/>
        <v>46295</v>
      </c>
      <c r="D11" t="str">
        <f>Lan!F143</f>
        <v>Octubre</v>
      </c>
      <c r="H11" t="s">
        <v>69</v>
      </c>
    </row>
    <row r="12" spans="1:12">
      <c r="A12" t="str">
        <f>Lan!F132</f>
        <v>NOV</v>
      </c>
      <c r="B12" s="17">
        <f>DATE($B$1,10,1)</f>
        <v>45931</v>
      </c>
      <c r="C12" s="17">
        <f t="shared" si="0"/>
        <v>46326</v>
      </c>
      <c r="D12" t="str">
        <f>Lan!F144</f>
        <v>Noviembre</v>
      </c>
    </row>
    <row r="13" spans="1:12">
      <c r="A13" t="str">
        <f>Lan!F133</f>
        <v>DIC</v>
      </c>
      <c r="B13" s="17">
        <f>DATE($B$1,11,1)</f>
        <v>45962</v>
      </c>
      <c r="C13" s="17">
        <f t="shared" si="0"/>
        <v>46356</v>
      </c>
      <c r="D13" t="str">
        <f>Lan!F145</f>
        <v>Diciembre</v>
      </c>
    </row>
    <row r="14" spans="1:12">
      <c r="A14" t="str">
        <f>Lan!F60</f>
        <v>Acumulado</v>
      </c>
    </row>
    <row r="15" spans="1:12">
      <c r="A15" t="str">
        <f>UPPER(Lan!F61)</f>
        <v>TOTAL</v>
      </c>
    </row>
  </sheetData>
  <pageMargins left="0.511811024" right="0.511811024" top="0.78740157499999996" bottom="0.78740157499999996" header="0.31496062000000002" footer="0.31496062000000002"/>
  <ignoredErrors>
    <ignoredError sqref="H2:H4 H5:H6 H8 H10:H11" numberStoredAsText="1"/>
  </ignoredErrors>
  <extLst>
    <ext xmlns:x14="http://schemas.microsoft.com/office/spreadsheetml/2009/9/main" uri="{78C0D931-6437-407d-A8EE-F0AAD7539E65}">
      <x14:conditionalFormattings>
        <x14:conditionalFormatting xmlns:xm="http://schemas.microsoft.com/office/excel/2006/main">
          <x14:cfRule type="expression" priority="1" id="{CB444690-D5C5-4DDD-AEE4-182BEB206C28}">
            <xm:f>'O1'!$F$12=$H$6</xm:f>
            <x14:dxf/>
          </x14:cfRule>
          <xm:sqref>E10:F19</xm:sqref>
        </x14:conditionalFormatting>
        <x14:conditionalFormatting xmlns:xm="http://schemas.microsoft.com/office/excel/2006/main">
          <x14:cfRule type="expression" priority="2" id="{BDEC8447-7130-4123-B165-A1E8020DFA57}">
            <xm:f>'O1'!$F$12=$H$11</xm:f>
            <x14:dxf/>
          </x14:cfRule>
          <x14:cfRule type="expression" priority="3" id="{B0A88612-11E9-4A2D-9F7A-0809C2708AA1}">
            <xm:f>'O1'!$F$12=$H$10</xm:f>
            <x14:dxf/>
          </x14:cfRule>
          <x14:cfRule type="expression" priority="4" id="{7D5CA8C8-9F45-4465-8F05-D22FC28B33D4}">
            <xm:f>'O1'!$F$12=$H$9</xm:f>
            <x14:dxf/>
          </x14:cfRule>
          <x14:cfRule type="expression" priority="5" id="{21635AEA-72A3-4677-86E5-A8E48C66B371}">
            <xm:f>'O1'!$F$12=$H$6</xm:f>
            <x14:dxf/>
          </x14:cfRule>
          <xm:sqref>H8:U9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56909-7C38-42D5-B546-CFC707DA2757}">
  <sheetPr codeName="Feuil3"/>
  <dimension ref="A1:S87"/>
  <sheetViews>
    <sheetView showGridLines="0" showRowColHeaders="0" zoomScale="159" zoomScaleNormal="159" workbookViewId="0">
      <selection activeCell="E13" sqref="E13"/>
    </sheetView>
  </sheetViews>
  <sheetFormatPr baseColWidth="10" defaultColWidth="11.5" defaultRowHeight="15"/>
  <cols>
    <col min="1" max="1" width="2.6640625" style="290" customWidth="1"/>
    <col min="2" max="2" width="8.6640625" style="290" customWidth="1"/>
    <col min="3" max="3" width="70.5" style="301" customWidth="1"/>
    <col min="4" max="16384" width="11.5" style="290"/>
  </cols>
  <sheetData>
    <row r="1" spans="1:19" s="268" customFormat="1" ht="39" customHeight="1">
      <c r="A1" s="266"/>
      <c r="B1" s="266"/>
      <c r="C1" s="267"/>
      <c r="D1" s="266"/>
      <c r="E1" s="266"/>
      <c r="F1" s="266"/>
      <c r="G1" s="266"/>
      <c r="H1" s="266"/>
      <c r="I1" s="266"/>
      <c r="J1" s="266"/>
      <c r="K1" s="266"/>
      <c r="L1" s="266"/>
      <c r="M1" s="266"/>
      <c r="N1" s="266"/>
      <c r="O1" s="266"/>
      <c r="P1" s="266"/>
      <c r="Q1" s="266"/>
      <c r="R1" s="266"/>
      <c r="S1" s="266"/>
    </row>
    <row r="2" spans="1:19" s="269" customFormat="1" ht="25" customHeight="1">
      <c r="C2" s="270"/>
    </row>
    <row r="3" spans="1:19" s="251" customFormat="1" ht="18" customHeight="1">
      <c r="C3" s="265"/>
    </row>
    <row r="4" spans="1:19" s="251" customFormat="1" ht="18" customHeight="1">
      <c r="C4" s="265"/>
    </row>
    <row r="5" spans="1:19" s="251" customFormat="1" ht="20" customHeight="1">
      <c r="C5" s="265"/>
    </row>
    <row r="6" spans="1:19" s="287" customFormat="1" ht="20" customHeight="1">
      <c r="A6" s="285"/>
      <c r="B6" s="285"/>
      <c r="C6" s="286"/>
      <c r="D6" s="285"/>
      <c r="E6" s="285"/>
      <c r="F6" s="285"/>
      <c r="G6" s="285"/>
      <c r="H6" s="285"/>
      <c r="I6" s="285"/>
    </row>
    <row r="7" spans="1:19" ht="20" customHeight="1">
      <c r="A7" s="288"/>
      <c r="B7" s="303" t="str">
        <f>Lan!F21</f>
        <v>1.2. Gerentes | Administradores</v>
      </c>
      <c r="C7" s="303"/>
      <c r="D7" s="289"/>
      <c r="E7" s="289"/>
      <c r="F7" s="288"/>
      <c r="G7" s="288"/>
      <c r="H7" s="288"/>
      <c r="I7" s="288"/>
    </row>
    <row r="8" spans="1:19" ht="20" customHeight="1">
      <c r="A8" s="288"/>
      <c r="B8" s="304" t="str">
        <f>Lan!F66</f>
        <v>Límite de 8 gerentes.</v>
      </c>
      <c r="C8" s="304"/>
      <c r="D8" s="302"/>
      <c r="E8" s="302"/>
      <c r="F8" s="302"/>
      <c r="G8" s="302"/>
      <c r="H8" s="302"/>
      <c r="I8" s="302"/>
    </row>
    <row r="9" spans="1:19" ht="20" customHeight="1">
      <c r="A9" s="288"/>
      <c r="B9" s="92"/>
      <c r="C9" s="305"/>
      <c r="D9" s="288"/>
      <c r="E9" s="288"/>
      <c r="F9" s="288"/>
      <c r="G9" s="288"/>
      <c r="H9" s="288"/>
      <c r="I9" s="288"/>
    </row>
    <row r="10" spans="1:19" ht="20" customHeight="1" thickBot="1">
      <c r="A10" s="288"/>
      <c r="B10" s="306" t="s">
        <v>50</v>
      </c>
      <c r="C10" s="307" t="str">
        <f>Lan!F65</f>
        <v>Gerentes</v>
      </c>
      <c r="D10" s="292"/>
      <c r="E10" s="292"/>
      <c r="F10" s="292"/>
      <c r="G10" s="292"/>
      <c r="H10" s="285"/>
      <c r="I10" s="288"/>
    </row>
    <row r="11" spans="1:19" ht="25" customHeight="1">
      <c r="A11" s="288"/>
      <c r="B11" s="293">
        <v>1</v>
      </c>
      <c r="C11" s="461" t="s">
        <v>351</v>
      </c>
      <c r="D11" s="292"/>
      <c r="E11" s="292"/>
      <c r="F11" s="292"/>
      <c r="G11" s="292"/>
      <c r="H11" s="285"/>
      <c r="I11" s="288"/>
    </row>
    <row r="12" spans="1:19" ht="25" customHeight="1">
      <c r="A12" s="288"/>
      <c r="B12" s="294">
        <v>2</v>
      </c>
      <c r="C12" s="462" t="s">
        <v>352</v>
      </c>
      <c r="D12" s="292"/>
      <c r="E12" s="292"/>
      <c r="F12" s="292"/>
      <c r="G12" s="292"/>
      <c r="H12" s="285"/>
      <c r="I12" s="288"/>
    </row>
    <row r="13" spans="1:19" ht="25" customHeight="1">
      <c r="A13" s="288"/>
      <c r="B13" s="295">
        <v>3</v>
      </c>
      <c r="C13" s="463" t="s">
        <v>353</v>
      </c>
      <c r="D13" s="292"/>
      <c r="E13" s="292"/>
      <c r="F13" s="292"/>
      <c r="G13" s="292"/>
      <c r="H13" s="285"/>
      <c r="I13" s="288"/>
    </row>
    <row r="14" spans="1:19" ht="25" customHeight="1">
      <c r="A14" s="288"/>
      <c r="B14" s="296">
        <v>4</v>
      </c>
      <c r="C14" s="462" t="s">
        <v>354</v>
      </c>
      <c r="D14" s="292"/>
      <c r="E14" s="292"/>
      <c r="F14" s="292"/>
      <c r="G14" s="292"/>
      <c r="H14" s="285"/>
      <c r="I14" s="288"/>
    </row>
    <row r="15" spans="1:19" ht="25" customHeight="1">
      <c r="A15" s="288"/>
      <c r="B15" s="298">
        <v>5</v>
      </c>
      <c r="C15" s="463" t="s">
        <v>355</v>
      </c>
      <c r="D15" s="292"/>
      <c r="E15" s="292"/>
      <c r="F15" s="292"/>
      <c r="G15" s="292"/>
      <c r="H15" s="285"/>
      <c r="I15" s="288"/>
    </row>
    <row r="16" spans="1:19" ht="25" customHeight="1">
      <c r="A16" s="288"/>
      <c r="B16" s="296">
        <v>6</v>
      </c>
      <c r="C16" s="462" t="s">
        <v>356</v>
      </c>
      <c r="D16" s="292"/>
      <c r="E16" s="292"/>
      <c r="F16" s="292"/>
      <c r="G16" s="292"/>
      <c r="H16" s="285"/>
      <c r="I16" s="288"/>
    </row>
    <row r="17" spans="1:9" ht="25" customHeight="1">
      <c r="A17" s="288"/>
      <c r="B17" s="298">
        <v>7</v>
      </c>
      <c r="C17" s="463"/>
      <c r="D17" s="292"/>
      <c r="E17" s="292"/>
      <c r="F17" s="292"/>
      <c r="G17" s="292"/>
      <c r="H17" s="285"/>
      <c r="I17" s="288"/>
    </row>
    <row r="18" spans="1:9" ht="25" customHeight="1">
      <c r="A18" s="288"/>
      <c r="B18" s="296">
        <v>8</v>
      </c>
      <c r="C18" s="297"/>
      <c r="D18" s="292"/>
      <c r="E18" s="292"/>
      <c r="F18" s="292"/>
      <c r="G18" s="292"/>
      <c r="H18" s="285"/>
      <c r="I18" s="288"/>
    </row>
    <row r="19" spans="1:9" ht="20" customHeight="1">
      <c r="A19" s="288"/>
      <c r="B19" s="292"/>
      <c r="C19" s="209"/>
      <c r="D19" s="292"/>
      <c r="E19" s="292"/>
      <c r="F19" s="292"/>
      <c r="G19" s="292"/>
      <c r="H19" s="285"/>
      <c r="I19" s="288"/>
    </row>
    <row r="20" spans="1:9" ht="20" customHeight="1">
      <c r="A20" s="288"/>
      <c r="B20" s="292"/>
      <c r="C20" s="209"/>
      <c r="D20" s="292"/>
      <c r="E20" s="292"/>
      <c r="F20" s="292"/>
      <c r="G20" s="292"/>
      <c r="H20" s="285"/>
      <c r="I20" s="288"/>
    </row>
    <row r="21" spans="1:9" ht="20" customHeight="1">
      <c r="A21" s="288"/>
      <c r="B21" s="292"/>
      <c r="C21" s="209"/>
      <c r="D21" s="292"/>
      <c r="E21" s="292"/>
      <c r="F21" s="292"/>
      <c r="G21" s="292"/>
      <c r="H21" s="285"/>
      <c r="I21" s="288"/>
    </row>
    <row r="22" spans="1:9" ht="20" customHeight="1">
      <c r="A22" s="288"/>
      <c r="B22" s="292"/>
      <c r="C22" s="209"/>
      <c r="D22" s="292"/>
      <c r="E22" s="292"/>
      <c r="F22" s="292"/>
      <c r="G22" s="292"/>
      <c r="H22" s="285"/>
      <c r="I22" s="288"/>
    </row>
    <row r="23" spans="1:9" ht="20" customHeight="1">
      <c r="A23" s="288"/>
      <c r="B23" s="292"/>
      <c r="C23" s="209"/>
      <c r="D23" s="292"/>
      <c r="E23" s="292"/>
      <c r="F23" s="292"/>
      <c r="G23" s="292"/>
      <c r="H23" s="285"/>
      <c r="I23" s="288"/>
    </row>
    <row r="24" spans="1:9" ht="20" customHeight="1">
      <c r="A24" s="288"/>
      <c r="B24" s="292"/>
      <c r="C24" s="209"/>
      <c r="D24" s="285"/>
      <c r="E24" s="285"/>
      <c r="F24" s="285"/>
      <c r="G24" s="285"/>
      <c r="H24" s="285"/>
      <c r="I24" s="288"/>
    </row>
    <row r="25" spans="1:9" ht="20" customHeight="1">
      <c r="A25" s="288"/>
      <c r="B25" s="292"/>
      <c r="C25" s="209"/>
      <c r="D25" s="285"/>
      <c r="E25" s="285"/>
      <c r="F25" s="285"/>
      <c r="G25" s="285"/>
      <c r="H25" s="285"/>
      <c r="I25" s="288"/>
    </row>
    <row r="26" spans="1:9" ht="20" customHeight="1">
      <c r="A26" s="288"/>
      <c r="B26" s="292"/>
      <c r="C26" s="209"/>
      <c r="D26" s="288"/>
      <c r="E26" s="288"/>
      <c r="F26" s="288"/>
      <c r="G26" s="288"/>
      <c r="H26" s="288"/>
      <c r="I26" s="288"/>
    </row>
    <row r="27" spans="1:9" ht="20" customHeight="1">
      <c r="A27" s="288"/>
      <c r="B27" s="292"/>
      <c r="C27" s="209"/>
      <c r="D27" s="288"/>
      <c r="E27" s="288"/>
      <c r="F27" s="288"/>
      <c r="G27" s="288"/>
      <c r="H27" s="288"/>
      <c r="I27" s="288"/>
    </row>
    <row r="28" spans="1:9" ht="20" customHeight="1">
      <c r="A28" s="288"/>
      <c r="B28" s="292"/>
      <c r="C28" s="209"/>
      <c r="D28" s="288"/>
      <c r="E28" s="288"/>
      <c r="F28" s="288"/>
      <c r="G28" s="288"/>
      <c r="H28" s="288"/>
      <c r="I28" s="288"/>
    </row>
    <row r="29" spans="1:9" ht="20" customHeight="1">
      <c r="A29" s="288"/>
      <c r="B29" s="292"/>
      <c r="C29" s="209"/>
      <c r="D29" s="288"/>
      <c r="E29" s="288"/>
      <c r="F29" s="288"/>
      <c r="G29" s="288"/>
      <c r="H29" s="288"/>
      <c r="I29" s="288"/>
    </row>
    <row r="30" spans="1:9" ht="20" customHeight="1">
      <c r="A30" s="288"/>
      <c r="B30" s="292"/>
      <c r="C30" s="209"/>
      <c r="D30" s="288"/>
      <c r="E30" s="288"/>
      <c r="F30" s="288"/>
      <c r="G30" s="288"/>
      <c r="H30" s="288"/>
      <c r="I30" s="288"/>
    </row>
    <row r="31" spans="1:9" ht="20" customHeight="1">
      <c r="A31" s="288"/>
      <c r="B31" s="292"/>
      <c r="C31" s="209"/>
      <c r="D31" s="288"/>
      <c r="E31" s="288"/>
      <c r="F31" s="288"/>
      <c r="G31" s="288"/>
      <c r="H31" s="288"/>
      <c r="I31" s="288"/>
    </row>
    <row r="32" spans="1:9" ht="20" customHeight="1">
      <c r="A32" s="288"/>
      <c r="B32" s="299"/>
      <c r="C32" s="291"/>
      <c r="D32" s="288"/>
      <c r="E32" s="288"/>
      <c r="F32" s="288"/>
      <c r="G32" s="288"/>
      <c r="H32" s="288"/>
      <c r="I32" s="288"/>
    </row>
    <row r="33" spans="1:9" ht="20" customHeight="1">
      <c r="A33" s="288"/>
      <c r="B33" s="299"/>
      <c r="C33" s="291"/>
      <c r="D33" s="288"/>
      <c r="E33" s="288"/>
      <c r="F33" s="288"/>
      <c r="G33" s="288"/>
      <c r="H33" s="288"/>
      <c r="I33" s="288"/>
    </row>
    <row r="34" spans="1:9" ht="20" customHeight="1">
      <c r="A34" s="288"/>
      <c r="B34" s="299"/>
      <c r="C34" s="291"/>
      <c r="D34" s="288"/>
      <c r="E34" s="288"/>
      <c r="F34" s="288"/>
      <c r="G34" s="288"/>
      <c r="H34" s="288"/>
      <c r="I34" s="288"/>
    </row>
    <row r="35" spans="1:9" ht="20" customHeight="1">
      <c r="A35" s="288"/>
      <c r="B35" s="299"/>
      <c r="C35" s="291"/>
      <c r="D35" s="288"/>
      <c r="E35" s="288"/>
      <c r="F35" s="288"/>
      <c r="G35" s="288"/>
      <c r="H35" s="288"/>
      <c r="I35" s="288"/>
    </row>
    <row r="36" spans="1:9" ht="20" customHeight="1">
      <c r="A36" s="288"/>
      <c r="B36" s="299"/>
      <c r="C36" s="291"/>
      <c r="D36" s="288"/>
      <c r="E36" s="288"/>
      <c r="F36" s="288"/>
      <c r="G36" s="288"/>
      <c r="H36" s="288"/>
      <c r="I36" s="288"/>
    </row>
    <row r="37" spans="1:9" ht="20" customHeight="1">
      <c r="A37" s="288"/>
      <c r="B37" s="299"/>
      <c r="C37" s="291"/>
      <c r="D37" s="288"/>
      <c r="E37" s="288"/>
      <c r="F37" s="288"/>
      <c r="G37" s="288"/>
      <c r="H37" s="288"/>
      <c r="I37" s="288"/>
    </row>
    <row r="38" spans="1:9" ht="20" customHeight="1">
      <c r="A38" s="288"/>
      <c r="B38" s="299"/>
      <c r="C38" s="291"/>
      <c r="D38" s="288"/>
      <c r="E38" s="288"/>
      <c r="F38" s="288"/>
      <c r="G38" s="288"/>
      <c r="H38" s="288"/>
      <c r="I38" s="288"/>
    </row>
    <row r="39" spans="1:9" ht="20" customHeight="1">
      <c r="A39" s="288"/>
      <c r="B39" s="299"/>
      <c r="C39" s="291"/>
      <c r="D39" s="288"/>
      <c r="E39" s="288"/>
      <c r="F39" s="288"/>
      <c r="G39" s="288"/>
      <c r="H39" s="288"/>
      <c r="I39" s="288"/>
    </row>
    <row r="40" spans="1:9" ht="20" customHeight="1">
      <c r="A40" s="288"/>
      <c r="B40" s="299"/>
      <c r="C40" s="291"/>
      <c r="D40" s="288"/>
      <c r="E40" s="288"/>
      <c r="F40" s="288"/>
      <c r="G40" s="288"/>
      <c r="H40" s="288"/>
      <c r="I40" s="288"/>
    </row>
    <row r="41" spans="1:9" ht="20" customHeight="1">
      <c r="A41" s="288"/>
      <c r="B41" s="299"/>
      <c r="C41" s="291"/>
      <c r="D41" s="288"/>
      <c r="E41" s="288"/>
      <c r="F41" s="288"/>
      <c r="G41" s="288"/>
      <c r="H41" s="288"/>
      <c r="I41" s="288"/>
    </row>
    <row r="42" spans="1:9" ht="20" customHeight="1">
      <c r="A42" s="288"/>
      <c r="B42" s="299"/>
      <c r="C42" s="291"/>
      <c r="D42" s="288"/>
      <c r="E42" s="288"/>
      <c r="F42" s="288"/>
      <c r="G42" s="288"/>
      <c r="H42" s="288"/>
      <c r="I42" s="288"/>
    </row>
    <row r="43" spans="1:9" ht="20" customHeight="1">
      <c r="A43" s="288"/>
      <c r="B43" s="299"/>
      <c r="C43" s="291"/>
      <c r="D43" s="288"/>
      <c r="E43" s="288"/>
      <c r="F43" s="288"/>
      <c r="G43" s="288"/>
      <c r="H43" s="288"/>
      <c r="I43" s="288"/>
    </row>
    <row r="44" spans="1:9" ht="20" customHeight="1">
      <c r="A44" s="288"/>
      <c r="B44" s="299"/>
      <c r="C44" s="291"/>
      <c r="D44" s="288"/>
      <c r="E44" s="288"/>
      <c r="F44" s="288"/>
      <c r="G44" s="288"/>
      <c r="H44" s="288"/>
      <c r="I44" s="288"/>
    </row>
    <row r="45" spans="1:9" ht="20" customHeight="1">
      <c r="A45" s="288"/>
      <c r="B45" s="299"/>
      <c r="C45" s="291"/>
      <c r="D45" s="288"/>
      <c r="E45" s="288"/>
      <c r="F45" s="288"/>
      <c r="G45" s="288"/>
      <c r="H45" s="288"/>
      <c r="I45" s="288"/>
    </row>
    <row r="46" spans="1:9" ht="20" customHeight="1">
      <c r="A46" s="288"/>
      <c r="B46" s="299"/>
      <c r="C46" s="291"/>
      <c r="D46" s="288"/>
      <c r="E46" s="288"/>
      <c r="F46" s="288"/>
      <c r="G46" s="288"/>
      <c r="H46" s="288"/>
      <c r="I46" s="288"/>
    </row>
    <row r="47" spans="1:9" ht="20" customHeight="1">
      <c r="A47" s="288"/>
      <c r="B47" s="299"/>
      <c r="C47" s="291"/>
      <c r="D47" s="288"/>
      <c r="E47" s="288"/>
      <c r="F47" s="288"/>
      <c r="G47" s="288"/>
      <c r="H47" s="288"/>
      <c r="I47" s="288"/>
    </row>
    <row r="48" spans="1:9" ht="20" customHeight="1">
      <c r="A48" s="288"/>
      <c r="B48" s="299"/>
      <c r="C48" s="291"/>
      <c r="D48" s="288"/>
      <c r="E48" s="288"/>
      <c r="F48" s="288"/>
      <c r="G48" s="288"/>
      <c r="H48" s="288"/>
      <c r="I48" s="288"/>
    </row>
    <row r="49" spans="1:9" ht="20" customHeight="1">
      <c r="A49" s="288"/>
      <c r="B49" s="299"/>
      <c r="C49" s="291"/>
      <c r="D49" s="288"/>
      <c r="E49" s="288"/>
      <c r="F49" s="288"/>
      <c r="G49" s="288"/>
      <c r="H49" s="288"/>
      <c r="I49" s="288"/>
    </row>
    <row r="50" spans="1:9" ht="20" customHeight="1">
      <c r="A50" s="288"/>
      <c r="B50" s="299"/>
      <c r="C50" s="291"/>
      <c r="D50" s="288"/>
      <c r="E50" s="288"/>
      <c r="F50" s="288"/>
      <c r="G50" s="288"/>
      <c r="H50" s="288"/>
      <c r="I50" s="288"/>
    </row>
    <row r="51" spans="1:9" ht="20" customHeight="1">
      <c r="A51" s="288"/>
      <c r="B51" s="299"/>
      <c r="C51" s="291"/>
      <c r="D51" s="288"/>
      <c r="E51" s="288"/>
      <c r="F51" s="288"/>
      <c r="G51" s="288"/>
      <c r="H51" s="288"/>
      <c r="I51" s="288"/>
    </row>
    <row r="52" spans="1:9" ht="20" customHeight="1">
      <c r="A52" s="288"/>
      <c r="B52" s="299"/>
      <c r="C52" s="291"/>
      <c r="D52" s="288"/>
      <c r="E52" s="288"/>
      <c r="F52" s="288"/>
      <c r="G52" s="288"/>
      <c r="H52" s="288"/>
      <c r="I52" s="288"/>
    </row>
    <row r="53" spans="1:9" ht="20" customHeight="1">
      <c r="A53" s="288"/>
      <c r="B53" s="299"/>
      <c r="C53" s="291"/>
      <c r="D53" s="288"/>
      <c r="E53" s="288"/>
      <c r="F53" s="288"/>
      <c r="G53" s="288"/>
      <c r="H53" s="288"/>
      <c r="I53" s="288"/>
    </row>
    <row r="54" spans="1:9" ht="20" customHeight="1">
      <c r="A54" s="288"/>
      <c r="B54" s="300"/>
      <c r="C54" s="291"/>
      <c r="D54" s="288"/>
      <c r="E54" s="288"/>
      <c r="F54" s="288"/>
      <c r="G54" s="288"/>
      <c r="H54" s="288"/>
      <c r="I54" s="288"/>
    </row>
    <row r="55" spans="1:9" ht="20" customHeight="1"/>
    <row r="56" spans="1:9" ht="20" customHeight="1"/>
    <row r="57" spans="1:9" ht="20" customHeight="1"/>
    <row r="58" spans="1:9" ht="20" customHeight="1"/>
    <row r="59" spans="1:9" ht="20" customHeight="1"/>
    <row r="60" spans="1:9" ht="20" customHeight="1"/>
    <row r="61" spans="1:9" ht="20" customHeight="1"/>
    <row r="62" spans="1:9" ht="20" customHeight="1"/>
    <row r="63" spans="1:9" ht="20" customHeight="1"/>
    <row r="64" spans="1:9"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sheetData>
  <sheetProtection formatCells="0" formatColumns="0" formatRows="0" insertColumns="0" selectLockedCells="1" autoFilter="0" pivotTables="0"/>
  <pageMargins left="0.25" right="0.25" top="0.75" bottom="0.75" header="0.3" footer="0.3"/>
  <pageSetup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S90"/>
  <sheetViews>
    <sheetView showGridLines="0" topLeftCell="C1" zoomScale="175" zoomScaleNormal="175" workbookViewId="0"/>
  </sheetViews>
  <sheetFormatPr baseColWidth="10" defaultColWidth="11.5" defaultRowHeight="15"/>
  <cols>
    <col min="1" max="1" width="2.6640625" style="290" customWidth="1"/>
    <col min="2" max="7" width="30.6640625" style="290" customWidth="1"/>
    <col min="8" max="16384" width="11.5" style="290"/>
  </cols>
  <sheetData>
    <row r="1" spans="1:19" s="268" customFormat="1" ht="39" customHeight="1">
      <c r="A1" s="266"/>
      <c r="B1" s="266"/>
      <c r="C1" s="266"/>
      <c r="D1" s="266"/>
      <c r="E1" s="266"/>
      <c r="F1" s="266"/>
      <c r="G1" s="266"/>
      <c r="H1" s="266"/>
      <c r="I1" s="266"/>
      <c r="J1" s="266"/>
      <c r="K1" s="266"/>
      <c r="L1" s="266"/>
      <c r="M1" s="266"/>
      <c r="N1" s="266"/>
      <c r="O1" s="266"/>
      <c r="P1" s="266"/>
      <c r="Q1" s="266"/>
      <c r="R1" s="266"/>
      <c r="S1" s="266"/>
    </row>
    <row r="2" spans="1:19" s="312" customFormat="1" ht="25" customHeight="1"/>
    <row r="3" spans="1:19" s="287" customFormat="1" ht="18" customHeight="1"/>
    <row r="4" spans="1:19" s="287" customFormat="1" ht="18" customHeight="1"/>
    <row r="5" spans="1:19" s="287" customFormat="1" ht="20" customHeight="1"/>
    <row r="6" spans="1:19" ht="20" customHeight="1">
      <c r="A6" s="288"/>
      <c r="B6" s="288"/>
      <c r="C6" s="288"/>
      <c r="D6" s="288"/>
      <c r="E6" s="288"/>
      <c r="F6" s="288"/>
      <c r="G6" s="288"/>
      <c r="H6" s="288"/>
      <c r="I6" s="288"/>
    </row>
    <row r="7" spans="1:19" s="309" customFormat="1" ht="20" customHeight="1">
      <c r="B7" s="313" t="str">
        <f>Lan!F30</f>
        <v>2.1. Declaraciones de estrategia</v>
      </c>
      <c r="C7" s="314"/>
      <c r="D7" s="314"/>
      <c r="E7" s="314"/>
      <c r="F7" s="314"/>
      <c r="G7" s="314"/>
    </row>
    <row r="8" spans="1:19" ht="20" customHeight="1">
      <c r="A8" s="288"/>
      <c r="B8" s="288"/>
      <c r="C8" s="288"/>
      <c r="D8" s="288"/>
      <c r="E8" s="288"/>
      <c r="F8" s="288"/>
      <c r="G8" s="288"/>
      <c r="H8" s="288"/>
      <c r="I8" s="288"/>
    </row>
    <row r="9" spans="1:19" ht="20" customHeight="1">
      <c r="A9" s="288"/>
      <c r="B9" s="288"/>
      <c r="C9" s="288"/>
      <c r="D9" s="288"/>
      <c r="E9" s="288"/>
      <c r="F9" s="288"/>
      <c r="G9" s="288"/>
      <c r="H9" s="288"/>
      <c r="I9" s="288"/>
    </row>
    <row r="10" spans="1:19" ht="20" customHeight="1">
      <c r="A10" s="288"/>
      <c r="B10" s="469" t="str">
        <f>Lan!F32</f>
        <v>Visión</v>
      </c>
      <c r="C10" s="469"/>
      <c r="D10" s="469"/>
      <c r="E10" s="469"/>
      <c r="F10" s="469"/>
      <c r="G10" s="469"/>
      <c r="H10" s="288"/>
      <c r="I10" s="288"/>
    </row>
    <row r="11" spans="1:19" ht="20" customHeight="1" thickBot="1">
      <c r="A11" s="288"/>
      <c r="B11" s="470" t="str">
        <f>Lan!F34</f>
        <v>Panorama general de lo que desea lograr.</v>
      </c>
      <c r="C11" s="470"/>
      <c r="D11" s="470"/>
      <c r="E11" s="470"/>
      <c r="F11" s="470"/>
      <c r="G11" s="470"/>
      <c r="H11" s="288"/>
      <c r="I11" s="288"/>
    </row>
    <row r="12" spans="1:19" ht="25" customHeight="1">
      <c r="A12" s="288"/>
      <c r="B12" s="466" t="s">
        <v>325</v>
      </c>
      <c r="C12" s="466"/>
      <c r="D12" s="466"/>
      <c r="E12" s="466"/>
      <c r="F12" s="466"/>
      <c r="G12" s="466"/>
      <c r="H12" s="288"/>
      <c r="I12" s="288"/>
    </row>
    <row r="13" spans="1:19" ht="25" customHeight="1">
      <c r="A13" s="288"/>
      <c r="B13" s="466"/>
      <c r="C13" s="466"/>
      <c r="D13" s="466"/>
      <c r="E13" s="466"/>
      <c r="F13" s="466"/>
      <c r="G13" s="466"/>
      <c r="H13" s="288"/>
      <c r="I13" s="288"/>
      <c r="J13" s="310"/>
    </row>
    <row r="14" spans="1:19" ht="25" customHeight="1">
      <c r="A14" s="288"/>
      <c r="B14" s="466"/>
      <c r="C14" s="466"/>
      <c r="D14" s="466"/>
      <c r="E14" s="466"/>
      <c r="F14" s="466"/>
      <c r="G14" s="466"/>
      <c r="H14" s="288"/>
      <c r="I14" s="288"/>
      <c r="J14" s="310"/>
    </row>
    <row r="15" spans="1:19" ht="20" customHeight="1">
      <c r="A15" s="288"/>
      <c r="B15" s="311"/>
      <c r="C15" s="311"/>
      <c r="D15" s="311"/>
      <c r="E15" s="311"/>
      <c r="F15" s="311"/>
      <c r="G15" s="311"/>
      <c r="H15" s="288"/>
      <c r="I15" s="288"/>
      <c r="J15" s="310"/>
    </row>
    <row r="16" spans="1:19" ht="20" customHeight="1">
      <c r="A16" s="288"/>
      <c r="B16" s="210" t="str">
        <f>Lan!F31</f>
        <v>Misión</v>
      </c>
      <c r="C16" s="315"/>
      <c r="D16" s="315"/>
      <c r="E16" s="315"/>
      <c r="F16" s="315"/>
      <c r="G16" s="315"/>
      <c r="H16" s="288"/>
      <c r="I16" s="288"/>
    </row>
    <row r="17" spans="1:9" ht="20" customHeight="1" thickBot="1">
      <c r="A17" s="288"/>
      <c r="B17" s="470" t="str">
        <f>Lan!F35</f>
        <v>Declaración general de cómo logrará la visión.</v>
      </c>
      <c r="C17" s="470"/>
      <c r="D17" s="470"/>
      <c r="E17" s="470"/>
      <c r="F17" s="470"/>
      <c r="G17" s="470"/>
      <c r="H17" s="288"/>
      <c r="I17" s="288"/>
    </row>
    <row r="18" spans="1:9" ht="25" customHeight="1">
      <c r="A18" s="288"/>
      <c r="B18" s="467" t="s">
        <v>327</v>
      </c>
      <c r="C18" s="467"/>
      <c r="D18" s="467"/>
      <c r="E18" s="467"/>
      <c r="F18" s="467"/>
      <c r="G18" s="467"/>
      <c r="H18" s="288"/>
      <c r="I18" s="288"/>
    </row>
    <row r="19" spans="1:9" ht="25" customHeight="1">
      <c r="A19" s="288"/>
      <c r="B19" s="467"/>
      <c r="C19" s="467"/>
      <c r="D19" s="467"/>
      <c r="E19" s="467"/>
      <c r="F19" s="467"/>
      <c r="G19" s="467"/>
      <c r="H19" s="288"/>
      <c r="I19" s="288"/>
    </row>
    <row r="20" spans="1:9" ht="25" customHeight="1">
      <c r="A20" s="288"/>
      <c r="B20" s="467"/>
      <c r="C20" s="467"/>
      <c r="D20" s="467"/>
      <c r="E20" s="467"/>
      <c r="F20" s="467"/>
      <c r="G20" s="467"/>
      <c r="H20" s="288"/>
      <c r="I20" s="288"/>
    </row>
    <row r="21" spans="1:9" ht="20" customHeight="1">
      <c r="A21" s="288"/>
      <c r="B21" s="311"/>
      <c r="C21" s="311"/>
      <c r="D21" s="311"/>
      <c r="E21" s="311"/>
      <c r="F21" s="311"/>
      <c r="G21" s="311"/>
      <c r="H21" s="288"/>
      <c r="I21" s="288"/>
    </row>
    <row r="22" spans="1:9" ht="20" customHeight="1">
      <c r="A22" s="288"/>
      <c r="B22" s="210" t="str">
        <f>Lan!F33</f>
        <v>Valores</v>
      </c>
      <c r="C22" s="315"/>
      <c r="D22" s="315"/>
      <c r="E22" s="315"/>
      <c r="F22" s="315"/>
      <c r="G22" s="315"/>
      <c r="H22" s="92"/>
      <c r="I22" s="288"/>
    </row>
    <row r="23" spans="1:9" ht="20" customHeight="1" thickBot="1">
      <c r="A23" s="288"/>
      <c r="B23" s="471" t="str">
        <f>Lan!F36</f>
        <v>Definir la organización en términos de los principios y valores que seguirán los líderes al llevar a cabo las actividades de la organización.</v>
      </c>
      <c r="C23" s="471"/>
      <c r="D23" s="471"/>
      <c r="E23" s="471"/>
      <c r="F23" s="471"/>
      <c r="G23" s="471"/>
      <c r="H23" s="471"/>
      <c r="I23" s="288"/>
    </row>
    <row r="24" spans="1:9" ht="25" customHeight="1">
      <c r="A24" s="288"/>
      <c r="B24" s="468" t="s">
        <v>326</v>
      </c>
      <c r="C24" s="468"/>
      <c r="D24" s="468"/>
      <c r="E24" s="468"/>
      <c r="F24" s="468"/>
      <c r="G24" s="468"/>
      <c r="H24" s="288"/>
      <c r="I24" s="288"/>
    </row>
    <row r="25" spans="1:9" ht="25" customHeight="1">
      <c r="A25" s="288"/>
      <c r="B25" s="467"/>
      <c r="C25" s="467"/>
      <c r="D25" s="467"/>
      <c r="E25" s="467"/>
      <c r="F25" s="467"/>
      <c r="G25" s="467"/>
      <c r="H25" s="288"/>
      <c r="I25" s="288"/>
    </row>
    <row r="26" spans="1:9" ht="252" customHeight="1">
      <c r="A26" s="288"/>
      <c r="B26" s="467"/>
      <c r="C26" s="467"/>
      <c r="D26" s="467"/>
      <c r="E26" s="467"/>
      <c r="F26" s="467"/>
      <c r="G26" s="467"/>
      <c r="H26" s="288"/>
      <c r="I26" s="288"/>
    </row>
    <row r="27" spans="1:9" ht="20" customHeight="1">
      <c r="A27" s="288"/>
      <c r="B27" s="299"/>
      <c r="C27" s="288"/>
      <c r="D27" s="288"/>
      <c r="E27" s="288"/>
      <c r="F27" s="288"/>
      <c r="G27" s="288"/>
      <c r="H27" s="288"/>
      <c r="I27" s="288"/>
    </row>
    <row r="28" spans="1:9" ht="20" customHeight="1">
      <c r="A28" s="288"/>
      <c r="B28" s="299"/>
      <c r="C28" s="288"/>
      <c r="D28" s="288"/>
      <c r="E28" s="288"/>
      <c r="F28" s="288"/>
      <c r="G28" s="288"/>
      <c r="H28" s="288"/>
      <c r="I28" s="288"/>
    </row>
    <row r="29" spans="1:9" ht="20" customHeight="1">
      <c r="A29" s="288"/>
      <c r="B29" s="299"/>
      <c r="C29" s="288"/>
      <c r="D29" s="288"/>
      <c r="E29" s="288"/>
      <c r="F29" s="288"/>
      <c r="G29" s="288"/>
      <c r="H29" s="288"/>
      <c r="I29" s="288"/>
    </row>
    <row r="30" spans="1:9" ht="20" customHeight="1">
      <c r="A30" s="288"/>
      <c r="B30" s="299"/>
      <c r="C30" s="288"/>
      <c r="D30" s="288"/>
      <c r="E30" s="288"/>
      <c r="F30" s="288"/>
      <c r="G30" s="288"/>
      <c r="H30" s="288"/>
      <c r="I30" s="288"/>
    </row>
    <row r="31" spans="1:9" ht="20" customHeight="1">
      <c r="A31" s="288"/>
      <c r="B31" s="299"/>
      <c r="C31" s="288"/>
      <c r="D31" s="288"/>
      <c r="E31" s="288"/>
      <c r="F31" s="288"/>
      <c r="G31" s="288"/>
      <c r="H31" s="288"/>
      <c r="I31" s="288"/>
    </row>
    <row r="32" spans="1:9" ht="20" customHeight="1">
      <c r="A32" s="288"/>
      <c r="B32" s="299"/>
      <c r="C32" s="288"/>
      <c r="D32" s="288"/>
      <c r="E32" s="288"/>
      <c r="F32" s="288"/>
      <c r="G32" s="288"/>
      <c r="H32" s="288"/>
      <c r="I32" s="288"/>
    </row>
    <row r="33" spans="1:9" ht="20" customHeight="1">
      <c r="A33" s="288"/>
      <c r="B33" s="299"/>
      <c r="C33" s="288"/>
      <c r="D33" s="288"/>
      <c r="E33" s="288"/>
      <c r="F33" s="288"/>
      <c r="G33" s="288"/>
      <c r="H33" s="288"/>
      <c r="I33" s="288"/>
    </row>
    <row r="34" spans="1:9" ht="20" customHeight="1">
      <c r="A34" s="288"/>
      <c r="B34" s="299"/>
      <c r="C34" s="288"/>
      <c r="D34" s="288"/>
      <c r="E34" s="288"/>
      <c r="F34" s="288"/>
      <c r="G34" s="288"/>
      <c r="H34" s="288"/>
      <c r="I34" s="288"/>
    </row>
    <row r="35" spans="1:9" ht="20" customHeight="1">
      <c r="A35" s="288"/>
      <c r="B35" s="299"/>
      <c r="C35" s="288"/>
      <c r="D35" s="288"/>
      <c r="E35" s="288"/>
      <c r="F35" s="288"/>
      <c r="G35" s="288"/>
      <c r="H35" s="288"/>
      <c r="I35" s="288"/>
    </row>
    <row r="36" spans="1:9" ht="20" customHeight="1">
      <c r="A36" s="288"/>
      <c r="B36" s="299"/>
      <c r="C36" s="288"/>
      <c r="D36" s="288"/>
      <c r="E36" s="288"/>
      <c r="F36" s="288"/>
      <c r="G36" s="288"/>
      <c r="H36" s="288"/>
      <c r="I36" s="288"/>
    </row>
    <row r="37" spans="1:9" ht="20" customHeight="1">
      <c r="A37" s="288"/>
      <c r="B37" s="299"/>
      <c r="C37" s="288"/>
      <c r="D37" s="288"/>
      <c r="E37" s="288"/>
      <c r="F37" s="288"/>
      <c r="G37" s="288"/>
      <c r="H37" s="288"/>
      <c r="I37" s="288"/>
    </row>
    <row r="38" spans="1:9" ht="20" customHeight="1">
      <c r="A38" s="288"/>
      <c r="B38" s="299"/>
      <c r="C38" s="288"/>
      <c r="D38" s="288"/>
      <c r="E38" s="288"/>
      <c r="F38" s="288"/>
      <c r="G38" s="288"/>
      <c r="H38" s="288"/>
      <c r="I38" s="288"/>
    </row>
    <row r="39" spans="1:9" ht="20" customHeight="1">
      <c r="A39" s="288"/>
      <c r="B39" s="299"/>
      <c r="C39" s="288"/>
      <c r="D39" s="288"/>
      <c r="E39" s="288"/>
      <c r="F39" s="288"/>
      <c r="G39" s="288"/>
      <c r="H39" s="288"/>
      <c r="I39" s="288"/>
    </row>
    <row r="40" spans="1:9" ht="20" customHeight="1">
      <c r="A40" s="288"/>
      <c r="B40" s="299"/>
      <c r="C40" s="288"/>
      <c r="D40" s="288"/>
      <c r="E40" s="288"/>
      <c r="F40" s="288"/>
      <c r="G40" s="288"/>
      <c r="H40" s="288"/>
      <c r="I40" s="288"/>
    </row>
    <row r="41" spans="1:9" ht="20" customHeight="1">
      <c r="A41" s="288"/>
      <c r="B41" s="299"/>
      <c r="C41" s="288"/>
      <c r="D41" s="288"/>
      <c r="E41" s="288"/>
      <c r="F41" s="288"/>
      <c r="G41" s="288"/>
      <c r="H41" s="288"/>
      <c r="I41" s="288"/>
    </row>
    <row r="42" spans="1:9" ht="20" customHeight="1">
      <c r="A42" s="288"/>
      <c r="B42" s="299"/>
      <c r="C42" s="288"/>
      <c r="D42" s="288"/>
      <c r="E42" s="288"/>
      <c r="F42" s="288"/>
      <c r="G42" s="288"/>
      <c r="H42" s="288"/>
      <c r="I42" s="288"/>
    </row>
    <row r="43" spans="1:9" ht="20" customHeight="1">
      <c r="A43" s="288"/>
      <c r="B43" s="299"/>
      <c r="C43" s="288"/>
      <c r="D43" s="288"/>
      <c r="E43" s="288"/>
      <c r="F43" s="288"/>
      <c r="G43" s="288"/>
      <c r="H43" s="288"/>
      <c r="I43" s="288"/>
    </row>
    <row r="44" spans="1:9" ht="20" customHeight="1">
      <c r="A44" s="288"/>
      <c r="B44" s="299"/>
      <c r="C44" s="288"/>
      <c r="D44" s="288"/>
      <c r="E44" s="288"/>
      <c r="F44" s="288"/>
      <c r="G44" s="288"/>
      <c r="H44" s="288"/>
      <c r="I44" s="288"/>
    </row>
    <row r="45" spans="1:9" ht="20" customHeight="1">
      <c r="A45" s="288"/>
      <c r="B45" s="299"/>
      <c r="C45" s="288"/>
      <c r="D45" s="288"/>
      <c r="E45" s="288"/>
      <c r="F45" s="288"/>
      <c r="G45" s="288"/>
      <c r="H45" s="288"/>
      <c r="I45" s="288"/>
    </row>
    <row r="46" spans="1:9" ht="20" customHeight="1">
      <c r="A46" s="288"/>
      <c r="B46" s="299"/>
      <c r="C46" s="288"/>
      <c r="D46" s="288"/>
      <c r="E46" s="288"/>
      <c r="F46" s="288"/>
      <c r="G46" s="288"/>
      <c r="H46" s="288"/>
      <c r="I46" s="288"/>
    </row>
    <row r="47" spans="1:9" ht="20" customHeight="1">
      <c r="A47" s="288"/>
      <c r="B47" s="299"/>
      <c r="C47" s="288"/>
      <c r="D47" s="288"/>
      <c r="E47" s="288"/>
      <c r="F47" s="288"/>
      <c r="G47" s="288"/>
      <c r="H47" s="288"/>
      <c r="I47" s="288"/>
    </row>
    <row r="48" spans="1:9" ht="20" customHeight="1">
      <c r="A48" s="288"/>
      <c r="B48" s="299"/>
      <c r="C48" s="288"/>
      <c r="D48" s="288"/>
      <c r="E48" s="288"/>
      <c r="F48" s="288"/>
      <c r="G48" s="288"/>
      <c r="H48" s="288"/>
      <c r="I48" s="288"/>
    </row>
    <row r="49" spans="1:9" ht="20" customHeight="1">
      <c r="A49" s="288"/>
      <c r="B49" s="299"/>
      <c r="C49" s="288"/>
      <c r="D49" s="288"/>
      <c r="E49" s="288"/>
      <c r="F49" s="288"/>
      <c r="G49" s="288"/>
      <c r="H49" s="288"/>
      <c r="I49" s="288"/>
    </row>
    <row r="50" spans="1:9" ht="20" customHeight="1">
      <c r="A50" s="288"/>
      <c r="B50" s="299"/>
      <c r="C50" s="288"/>
      <c r="D50" s="288"/>
      <c r="E50" s="288"/>
      <c r="F50" s="288"/>
      <c r="G50" s="288"/>
      <c r="H50" s="288"/>
      <c r="I50" s="288"/>
    </row>
    <row r="51" spans="1:9" ht="20" customHeight="1">
      <c r="A51" s="288"/>
      <c r="B51" s="299"/>
      <c r="C51" s="288"/>
      <c r="D51" s="288"/>
      <c r="E51" s="288"/>
      <c r="F51" s="288"/>
      <c r="G51" s="288"/>
      <c r="H51" s="288"/>
      <c r="I51" s="288"/>
    </row>
    <row r="52" spans="1:9" ht="20" customHeight="1">
      <c r="A52" s="288"/>
      <c r="B52" s="299"/>
      <c r="C52" s="288"/>
      <c r="D52" s="288"/>
      <c r="E52" s="288"/>
      <c r="F52" s="288"/>
      <c r="G52" s="288"/>
      <c r="H52" s="288"/>
      <c r="I52" s="288"/>
    </row>
    <row r="53" spans="1:9" ht="20" customHeight="1">
      <c r="A53" s="288"/>
      <c r="B53" s="299"/>
      <c r="C53" s="288"/>
      <c r="D53" s="288"/>
      <c r="E53" s="288"/>
      <c r="F53" s="288"/>
      <c r="G53" s="288"/>
      <c r="H53" s="288"/>
      <c r="I53" s="288"/>
    </row>
    <row r="54" spans="1:9" ht="20" customHeight="1">
      <c r="A54" s="288"/>
      <c r="B54" s="299"/>
      <c r="C54" s="288"/>
      <c r="D54" s="288"/>
      <c r="E54" s="288"/>
      <c r="F54" s="288"/>
      <c r="G54" s="288"/>
      <c r="H54" s="288"/>
      <c r="I54" s="288"/>
    </row>
    <row r="55" spans="1:9" ht="20" customHeight="1">
      <c r="B55" s="299"/>
      <c r="C55" s="288"/>
      <c r="D55" s="288"/>
      <c r="E55" s="288"/>
      <c r="F55" s="288"/>
      <c r="G55" s="288"/>
      <c r="H55" s="288"/>
      <c r="I55" s="288"/>
    </row>
    <row r="56" spans="1:9" ht="20" customHeight="1">
      <c r="B56" s="299"/>
      <c r="C56" s="288"/>
      <c r="D56" s="288"/>
      <c r="E56" s="288"/>
      <c r="F56" s="288"/>
      <c r="G56" s="288"/>
      <c r="H56" s="288"/>
      <c r="I56" s="288"/>
    </row>
    <row r="57" spans="1:9" ht="20" customHeight="1">
      <c r="B57" s="300"/>
      <c r="C57" s="288"/>
      <c r="D57" s="288"/>
      <c r="E57" s="288"/>
      <c r="F57" s="288"/>
      <c r="G57" s="288"/>
      <c r="H57" s="288"/>
      <c r="I57" s="288"/>
    </row>
    <row r="58" spans="1:9" ht="20" customHeight="1"/>
    <row r="59" spans="1:9" ht="20" customHeight="1"/>
    <row r="60" spans="1:9" ht="20" customHeight="1"/>
    <row r="61" spans="1:9" ht="20" customHeight="1"/>
    <row r="62" spans="1:9" ht="20" customHeight="1"/>
    <row r="63" spans="1:9" ht="20" customHeight="1"/>
    <row r="64" spans="1:9"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s="290" customFormat="1" ht="20" customHeight="1"/>
    <row r="82" s="290" customFormat="1" ht="20" customHeight="1"/>
    <row r="83" s="290" customFormat="1" ht="20" customHeight="1"/>
    <row r="84" s="290" customFormat="1" ht="20" customHeight="1"/>
    <row r="85" s="290" customFormat="1" ht="20" customHeight="1"/>
    <row r="86" s="290" customFormat="1" ht="20" customHeight="1"/>
    <row r="87" s="290" customFormat="1" ht="20" customHeight="1"/>
    <row r="88" s="290" customFormat="1" ht="20" customHeight="1"/>
    <row r="89" s="290" customFormat="1" ht="20" customHeight="1"/>
    <row r="90" s="290" customFormat="1" ht="20" customHeight="1"/>
  </sheetData>
  <sheetProtection formatCells="0" formatColumns="0" formatRows="0" selectLockedCells="1" sort="0" autoFilter="0" pivotTables="0"/>
  <mergeCells count="7">
    <mergeCell ref="B12:G14"/>
    <mergeCell ref="B18:G20"/>
    <mergeCell ref="B24:G26"/>
    <mergeCell ref="B10:G10"/>
    <mergeCell ref="B11:G11"/>
    <mergeCell ref="B17:G17"/>
    <mergeCell ref="B23:H23"/>
  </mergeCells>
  <pageMargins left="0.25" right="0.25" top="0.75" bottom="0.75" header="0.3" footer="0.3"/>
  <pageSetup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BD5C5-CC28-406C-8A56-0D1D3AA77C8E}">
  <sheetPr codeName="Feuil5"/>
  <dimension ref="A1:S87"/>
  <sheetViews>
    <sheetView showGridLines="0" showRowColHeaders="0" zoomScale="138" zoomScaleNormal="138" workbookViewId="0"/>
  </sheetViews>
  <sheetFormatPr baseColWidth="10" defaultColWidth="11.5" defaultRowHeight="15"/>
  <cols>
    <col min="1" max="1" width="2.6640625" style="290" customWidth="1"/>
    <col min="2" max="2" width="13.1640625" style="290" customWidth="1"/>
    <col min="3" max="5" width="30.6640625" style="290" customWidth="1"/>
    <col min="6" max="8" width="36.6640625" style="290" customWidth="1"/>
    <col min="9" max="16384" width="11.5" style="290"/>
  </cols>
  <sheetData>
    <row r="1" spans="1:19" s="268" customFormat="1" ht="39" customHeight="1">
      <c r="A1" s="266"/>
      <c r="B1" s="266"/>
      <c r="C1" s="266"/>
      <c r="D1" s="266"/>
      <c r="E1" s="266"/>
      <c r="F1" s="266"/>
      <c r="G1" s="266"/>
      <c r="H1" s="266"/>
      <c r="I1" s="266"/>
      <c r="J1" s="266"/>
      <c r="K1" s="266"/>
      <c r="L1" s="266"/>
      <c r="M1" s="266"/>
      <c r="N1" s="266"/>
      <c r="O1" s="266"/>
      <c r="P1" s="266"/>
      <c r="Q1" s="266"/>
      <c r="R1" s="266"/>
      <c r="S1" s="266"/>
    </row>
    <row r="2" spans="1:19" s="312" customFormat="1" ht="25" customHeight="1"/>
    <row r="3" spans="1:19" s="287" customFormat="1" ht="18" customHeight="1"/>
    <row r="4" spans="1:19" s="287" customFormat="1" ht="18" customHeight="1"/>
    <row r="5" spans="1:19" s="287" customFormat="1" ht="20" customHeight="1"/>
    <row r="6" spans="1:19" ht="20" customHeight="1">
      <c r="A6" s="288"/>
      <c r="B6" s="288"/>
      <c r="C6" s="288"/>
      <c r="D6" s="288"/>
      <c r="E6" s="288"/>
      <c r="F6" s="288"/>
      <c r="G6" s="288"/>
      <c r="H6" s="288"/>
      <c r="I6" s="288"/>
    </row>
    <row r="7" spans="1:19" ht="20" customHeight="1">
      <c r="A7" s="288"/>
      <c r="B7" s="303" t="str">
        <f>Lan!F37</f>
        <v>2.2. Metas estratégicas</v>
      </c>
      <c r="C7" s="303"/>
      <c r="D7" s="303"/>
      <c r="E7" s="92"/>
      <c r="F7" s="92"/>
      <c r="G7" s="92"/>
      <c r="H7" s="92"/>
      <c r="I7" s="288"/>
    </row>
    <row r="8" spans="1:19" ht="20" customHeight="1">
      <c r="A8" s="288"/>
      <c r="B8" s="320" t="str">
        <f>Lan!F42</f>
        <v>Una meta es una declaración general de lo que desea lograr. Más específicamente, una meta es un hito (s) en el proceso de implementación de una estrategia.</v>
      </c>
      <c r="C8" s="92"/>
      <c r="D8" s="92"/>
      <c r="E8" s="92"/>
      <c r="F8" s="92"/>
      <c r="G8" s="92"/>
      <c r="H8" s="92"/>
    </row>
    <row r="9" spans="1:19" ht="20" customHeight="1">
      <c r="A9" s="288"/>
      <c r="B9" s="304" t="str">
        <f>Lan!F41</f>
        <v>Solo es posible reagistrar hasta 6 objetivos.</v>
      </c>
      <c r="C9" s="92"/>
      <c r="D9" s="92"/>
      <c r="E9" s="92"/>
      <c r="F9" s="92"/>
      <c r="G9" s="92"/>
      <c r="H9" s="92"/>
      <c r="I9" s="288"/>
    </row>
    <row r="10" spans="1:19" ht="20" customHeight="1">
      <c r="A10" s="288"/>
      <c r="I10" s="288"/>
    </row>
    <row r="11" spans="1:19" ht="30" customHeight="1" thickBot="1">
      <c r="A11" s="288"/>
      <c r="B11" s="321" t="s">
        <v>50</v>
      </c>
      <c r="C11" s="481" t="str">
        <f>Lan!F39</f>
        <v>Metas</v>
      </c>
      <c r="D11" s="472"/>
      <c r="E11" s="482"/>
      <c r="F11" s="472" t="str">
        <f>Lan!F40</f>
        <v>Comentarios</v>
      </c>
      <c r="G11" s="472"/>
      <c r="H11" s="472"/>
      <c r="I11" s="288"/>
      <c r="J11" s="323">
        <f t="shared" ref="J11:J16" si="0">IF(C12="",0,1)</f>
        <v>1</v>
      </c>
    </row>
    <row r="12" spans="1:19" ht="30" customHeight="1">
      <c r="A12" s="288"/>
      <c r="B12" s="322" t="str">
        <f>Lan!F146</f>
        <v>Meta 1</v>
      </c>
      <c r="C12" s="473" t="s">
        <v>334</v>
      </c>
      <c r="D12" s="474"/>
      <c r="E12" s="475"/>
      <c r="F12" s="473"/>
      <c r="G12" s="474"/>
      <c r="H12" s="480"/>
      <c r="I12" s="288"/>
      <c r="J12" s="323">
        <f t="shared" si="0"/>
        <v>1</v>
      </c>
    </row>
    <row r="13" spans="1:19" ht="30" customHeight="1">
      <c r="A13" s="288"/>
      <c r="B13" s="211" t="str">
        <f>Lan!F147</f>
        <v>Meta 2</v>
      </c>
      <c r="C13" s="476" t="s">
        <v>335</v>
      </c>
      <c r="D13" s="477"/>
      <c r="E13" s="478"/>
      <c r="F13" s="476"/>
      <c r="G13" s="477"/>
      <c r="H13" s="479"/>
      <c r="I13" s="288"/>
      <c r="J13" s="323">
        <f t="shared" si="0"/>
        <v>1</v>
      </c>
    </row>
    <row r="14" spans="1:19" ht="30" customHeight="1">
      <c r="A14" s="288"/>
      <c r="B14" s="211" t="str">
        <f>Lan!F148</f>
        <v>Meta 3</v>
      </c>
      <c r="C14" s="476" t="s">
        <v>336</v>
      </c>
      <c r="D14" s="477"/>
      <c r="E14" s="478"/>
      <c r="F14" s="476"/>
      <c r="G14" s="477"/>
      <c r="H14" s="479"/>
      <c r="I14" s="316"/>
      <c r="J14" s="323">
        <f t="shared" si="0"/>
        <v>1</v>
      </c>
    </row>
    <row r="15" spans="1:19" ht="30" customHeight="1">
      <c r="A15" s="288"/>
      <c r="B15" s="211" t="str">
        <f>Lan!F149</f>
        <v>Meta 4</v>
      </c>
      <c r="C15" s="476" t="s">
        <v>337</v>
      </c>
      <c r="D15" s="477"/>
      <c r="E15" s="478"/>
      <c r="F15" s="476"/>
      <c r="G15" s="477"/>
      <c r="H15" s="479"/>
      <c r="I15" s="317"/>
      <c r="J15" s="323">
        <f t="shared" si="0"/>
        <v>1</v>
      </c>
    </row>
    <row r="16" spans="1:19" ht="30" customHeight="1">
      <c r="A16" s="288"/>
      <c r="B16" s="211" t="str">
        <f>Lan!F150</f>
        <v>Meta 5</v>
      </c>
      <c r="C16" s="476" t="s">
        <v>338</v>
      </c>
      <c r="D16" s="477"/>
      <c r="E16" s="478"/>
      <c r="F16" s="476"/>
      <c r="G16" s="477"/>
      <c r="H16" s="479"/>
      <c r="I16" s="288"/>
      <c r="J16" s="323">
        <f t="shared" si="0"/>
        <v>1</v>
      </c>
    </row>
    <row r="17" spans="1:11" ht="30" customHeight="1">
      <c r="A17" s="288"/>
      <c r="B17" s="211" t="str">
        <f>Lan!F151</f>
        <v>Meta 6</v>
      </c>
      <c r="C17" s="476" t="s">
        <v>339</v>
      </c>
      <c r="D17" s="477"/>
      <c r="E17" s="478"/>
      <c r="F17" s="476"/>
      <c r="G17" s="477"/>
      <c r="H17" s="479"/>
      <c r="I17" s="288"/>
      <c r="J17" s="323"/>
    </row>
    <row r="18" spans="1:11" ht="20" customHeight="1">
      <c r="A18" s="288"/>
      <c r="B18" s="318"/>
      <c r="C18" s="318"/>
      <c r="D18" s="318"/>
      <c r="E18" s="318"/>
      <c r="F18" s="318"/>
      <c r="H18" s="319"/>
      <c r="I18" s="288"/>
      <c r="J18" s="323">
        <f>IF(B18="",0,1)</f>
        <v>0</v>
      </c>
    </row>
    <row r="19" spans="1:11" ht="20" customHeight="1">
      <c r="A19" s="288"/>
      <c r="B19" s="318"/>
      <c r="C19" s="318"/>
      <c r="D19" s="318"/>
      <c r="E19" s="318"/>
      <c r="F19" s="318"/>
      <c r="G19" s="318"/>
      <c r="H19" s="318"/>
      <c r="I19" s="288"/>
      <c r="J19" s="323">
        <f>IF(B19="",0,1)</f>
        <v>0</v>
      </c>
    </row>
    <row r="20" spans="1:11" ht="20" customHeight="1">
      <c r="A20" s="288"/>
      <c r="B20" s="318"/>
      <c r="C20" s="318"/>
      <c r="D20" s="318"/>
      <c r="E20" s="318"/>
      <c r="F20" s="318"/>
      <c r="G20" s="318"/>
      <c r="H20" s="318"/>
      <c r="I20" s="288"/>
      <c r="J20" s="323">
        <f>IF(B20="",0,1)</f>
        <v>0</v>
      </c>
    </row>
    <row r="21" spans="1:11" ht="20" customHeight="1">
      <c r="A21" s="288"/>
      <c r="I21" s="288"/>
      <c r="K21" s="316"/>
    </row>
    <row r="22" spans="1:11" ht="20" customHeight="1">
      <c r="A22" s="288"/>
      <c r="B22" s="311"/>
      <c r="C22" s="311"/>
      <c r="D22" s="311"/>
      <c r="E22" s="311"/>
      <c r="F22" s="311"/>
      <c r="G22" s="311"/>
      <c r="H22" s="311"/>
      <c r="I22" s="288"/>
      <c r="K22" s="316"/>
    </row>
    <row r="23" spans="1:11" ht="20" customHeight="1">
      <c r="A23" s="288"/>
      <c r="B23" s="311"/>
      <c r="C23" s="311"/>
      <c r="D23" s="311"/>
      <c r="E23" s="311"/>
      <c r="F23" s="311"/>
      <c r="G23" s="311"/>
      <c r="H23" s="311"/>
      <c r="I23" s="288"/>
      <c r="K23" s="316"/>
    </row>
    <row r="24" spans="1:11" ht="20" customHeight="1">
      <c r="A24" s="288"/>
      <c r="B24" s="299"/>
      <c r="C24" s="288"/>
      <c r="D24" s="288"/>
      <c r="E24" s="288"/>
      <c r="F24" s="288"/>
      <c r="G24" s="288"/>
      <c r="H24" s="288"/>
      <c r="I24" s="288"/>
      <c r="K24" s="316"/>
    </row>
    <row r="25" spans="1:11" ht="20" customHeight="1">
      <c r="A25" s="288"/>
      <c r="B25" s="299"/>
      <c r="C25" s="288"/>
      <c r="D25" s="288"/>
      <c r="E25" s="288"/>
      <c r="F25" s="288"/>
      <c r="G25" s="288"/>
      <c r="H25" s="288"/>
      <c r="I25" s="288"/>
      <c r="K25" s="316"/>
    </row>
    <row r="26" spans="1:11" ht="20" customHeight="1">
      <c r="A26" s="288"/>
      <c r="B26" s="299"/>
      <c r="C26" s="288"/>
      <c r="D26" s="288"/>
      <c r="E26" s="288"/>
      <c r="F26" s="288"/>
      <c r="G26" s="288"/>
      <c r="H26" s="288"/>
      <c r="I26" s="288"/>
    </row>
    <row r="27" spans="1:11" ht="20" customHeight="1">
      <c r="A27" s="288"/>
      <c r="B27" s="299"/>
      <c r="C27" s="288"/>
      <c r="D27" s="288"/>
      <c r="E27" s="288"/>
      <c r="F27" s="288"/>
      <c r="G27" s="288"/>
      <c r="H27" s="288"/>
      <c r="I27" s="288"/>
    </row>
    <row r="28" spans="1:11" ht="20" customHeight="1">
      <c r="A28" s="288"/>
      <c r="B28" s="299"/>
      <c r="C28" s="288"/>
      <c r="D28" s="288"/>
      <c r="E28" s="288"/>
      <c r="F28" s="288"/>
      <c r="G28" s="288"/>
      <c r="H28" s="288"/>
      <c r="I28" s="288"/>
    </row>
    <row r="29" spans="1:11" ht="20" customHeight="1">
      <c r="A29" s="288"/>
      <c r="B29" s="299"/>
      <c r="C29" s="288"/>
      <c r="D29" s="288"/>
      <c r="E29" s="288"/>
      <c r="F29" s="288"/>
      <c r="G29" s="288"/>
      <c r="H29" s="288"/>
      <c r="I29" s="288"/>
    </row>
    <row r="30" spans="1:11" ht="20" customHeight="1">
      <c r="A30" s="288"/>
      <c r="B30" s="299"/>
      <c r="C30" s="288"/>
      <c r="D30" s="288"/>
      <c r="E30" s="288"/>
      <c r="F30" s="288"/>
      <c r="G30" s="288"/>
      <c r="H30" s="288"/>
      <c r="I30" s="288"/>
    </row>
    <row r="31" spans="1:11" ht="20" customHeight="1">
      <c r="A31" s="288"/>
      <c r="B31" s="299"/>
      <c r="C31" s="288"/>
      <c r="D31" s="288"/>
      <c r="E31" s="288"/>
      <c r="F31" s="288"/>
      <c r="G31" s="288"/>
      <c r="H31" s="288"/>
      <c r="I31" s="288"/>
    </row>
    <row r="32" spans="1:11" ht="20" customHeight="1">
      <c r="A32" s="288"/>
      <c r="B32" s="299"/>
      <c r="C32" s="288"/>
      <c r="D32" s="288"/>
      <c r="E32" s="288"/>
      <c r="F32" s="288"/>
      <c r="G32" s="288"/>
      <c r="H32" s="288"/>
      <c r="I32" s="288"/>
    </row>
    <row r="33" spans="1:9" ht="20" customHeight="1">
      <c r="A33" s="288"/>
      <c r="B33" s="299"/>
      <c r="C33" s="288"/>
      <c r="D33" s="288"/>
      <c r="E33" s="288"/>
      <c r="F33" s="288"/>
      <c r="G33" s="288"/>
      <c r="H33" s="288"/>
      <c r="I33" s="288"/>
    </row>
    <row r="34" spans="1:9" ht="20" customHeight="1">
      <c r="A34" s="288"/>
      <c r="B34" s="299"/>
      <c r="C34" s="288"/>
      <c r="D34" s="288"/>
      <c r="E34" s="288"/>
      <c r="F34" s="288"/>
      <c r="G34" s="288"/>
      <c r="H34" s="288"/>
      <c r="I34" s="288"/>
    </row>
    <row r="35" spans="1:9" ht="20" customHeight="1">
      <c r="A35" s="288"/>
      <c r="B35" s="299"/>
      <c r="C35" s="288"/>
      <c r="D35" s="288"/>
      <c r="E35" s="288"/>
      <c r="F35" s="288"/>
      <c r="G35" s="288"/>
      <c r="H35" s="288"/>
      <c r="I35" s="288"/>
    </row>
    <row r="36" spans="1:9" ht="20" customHeight="1">
      <c r="A36" s="288"/>
      <c r="B36" s="299"/>
      <c r="C36" s="288"/>
      <c r="D36" s="288"/>
      <c r="E36" s="288"/>
      <c r="F36" s="288"/>
      <c r="G36" s="288"/>
      <c r="H36" s="288"/>
      <c r="I36" s="288"/>
    </row>
    <row r="37" spans="1:9" ht="20" customHeight="1">
      <c r="A37" s="288"/>
      <c r="B37" s="299"/>
      <c r="C37" s="288"/>
      <c r="D37" s="288"/>
      <c r="E37" s="288"/>
      <c r="F37" s="288"/>
      <c r="G37" s="288"/>
      <c r="H37" s="288"/>
      <c r="I37" s="288"/>
    </row>
    <row r="38" spans="1:9" ht="20" customHeight="1">
      <c r="A38" s="288"/>
      <c r="B38" s="299"/>
      <c r="C38" s="288"/>
      <c r="D38" s="288"/>
      <c r="E38" s="288"/>
      <c r="F38" s="288"/>
      <c r="G38" s="288"/>
      <c r="H38" s="288"/>
      <c r="I38" s="288"/>
    </row>
    <row r="39" spans="1:9" ht="20" customHeight="1">
      <c r="A39" s="288"/>
      <c r="B39" s="299"/>
      <c r="C39" s="288"/>
      <c r="D39" s="288"/>
      <c r="E39" s="288"/>
      <c r="F39" s="288"/>
      <c r="G39" s="288"/>
      <c r="H39" s="288"/>
      <c r="I39" s="288"/>
    </row>
    <row r="40" spans="1:9" ht="20" customHeight="1">
      <c r="A40" s="288"/>
      <c r="B40" s="299"/>
      <c r="C40" s="288"/>
      <c r="D40" s="288"/>
      <c r="E40" s="288"/>
      <c r="F40" s="288"/>
      <c r="G40" s="288"/>
      <c r="H40" s="288"/>
      <c r="I40" s="288"/>
    </row>
    <row r="41" spans="1:9" ht="20" customHeight="1">
      <c r="A41" s="288"/>
      <c r="B41" s="299"/>
      <c r="C41" s="288"/>
      <c r="D41" s="288"/>
      <c r="E41" s="288"/>
      <c r="F41" s="288"/>
      <c r="G41" s="288"/>
      <c r="H41" s="288"/>
      <c r="I41" s="288"/>
    </row>
    <row r="42" spans="1:9" ht="20" customHeight="1">
      <c r="A42" s="288"/>
      <c r="B42" s="299"/>
      <c r="C42" s="288"/>
      <c r="D42" s="288"/>
      <c r="E42" s="288"/>
      <c r="F42" s="288"/>
      <c r="G42" s="288"/>
      <c r="H42" s="288"/>
      <c r="I42" s="288"/>
    </row>
    <row r="43" spans="1:9" ht="20" customHeight="1">
      <c r="A43" s="288"/>
      <c r="B43" s="299"/>
      <c r="C43" s="288"/>
      <c r="D43" s="288"/>
      <c r="E43" s="288"/>
      <c r="F43" s="288"/>
      <c r="G43" s="288"/>
      <c r="H43" s="288"/>
      <c r="I43" s="288"/>
    </row>
    <row r="44" spans="1:9" ht="20" customHeight="1">
      <c r="A44" s="288"/>
      <c r="B44" s="299"/>
      <c r="C44" s="288"/>
      <c r="D44" s="288"/>
      <c r="E44" s="288"/>
      <c r="F44" s="288"/>
      <c r="G44" s="288"/>
      <c r="H44" s="288"/>
      <c r="I44" s="288"/>
    </row>
    <row r="45" spans="1:9" ht="20" customHeight="1">
      <c r="A45" s="288"/>
      <c r="B45" s="299"/>
      <c r="C45" s="288"/>
      <c r="D45" s="288"/>
      <c r="E45" s="288"/>
      <c r="F45" s="288"/>
      <c r="G45" s="288"/>
      <c r="H45" s="288"/>
      <c r="I45" s="288"/>
    </row>
    <row r="46" spans="1:9" ht="20" customHeight="1">
      <c r="A46" s="288"/>
      <c r="B46" s="299"/>
      <c r="C46" s="288"/>
      <c r="D46" s="288"/>
      <c r="E46" s="288"/>
      <c r="F46" s="288"/>
      <c r="G46" s="288"/>
      <c r="H46" s="288"/>
      <c r="I46" s="288"/>
    </row>
    <row r="47" spans="1:9" ht="20" customHeight="1">
      <c r="A47" s="288"/>
      <c r="B47" s="299"/>
      <c r="C47" s="288"/>
      <c r="D47" s="288"/>
      <c r="E47" s="288"/>
      <c r="F47" s="288"/>
      <c r="G47" s="288"/>
      <c r="H47" s="288"/>
      <c r="I47" s="288"/>
    </row>
    <row r="48" spans="1:9" ht="20" customHeight="1">
      <c r="A48" s="288"/>
      <c r="B48" s="299"/>
      <c r="C48" s="288"/>
      <c r="D48" s="288"/>
      <c r="E48" s="288"/>
      <c r="F48" s="288"/>
      <c r="G48" s="288"/>
      <c r="H48" s="288"/>
      <c r="I48" s="288"/>
    </row>
    <row r="49" spans="1:9" ht="20" customHeight="1">
      <c r="A49" s="288"/>
      <c r="B49" s="299"/>
      <c r="C49" s="288"/>
      <c r="D49" s="288"/>
      <c r="E49" s="288"/>
      <c r="F49" s="288"/>
      <c r="G49" s="288"/>
      <c r="H49" s="288"/>
      <c r="I49" s="288"/>
    </row>
    <row r="50" spans="1:9" ht="20" customHeight="1">
      <c r="A50" s="288"/>
      <c r="B50" s="299"/>
      <c r="C50" s="288"/>
      <c r="D50" s="288"/>
      <c r="E50" s="288"/>
      <c r="F50" s="288"/>
      <c r="G50" s="288"/>
      <c r="H50" s="288"/>
      <c r="I50" s="288"/>
    </row>
    <row r="51" spans="1:9" ht="20" customHeight="1">
      <c r="A51" s="288"/>
      <c r="B51" s="299"/>
      <c r="C51" s="288"/>
      <c r="D51" s="288"/>
      <c r="E51" s="288"/>
      <c r="F51" s="288"/>
      <c r="G51" s="288"/>
      <c r="H51" s="288"/>
      <c r="I51" s="288"/>
    </row>
    <row r="52" spans="1:9" ht="20" customHeight="1">
      <c r="A52" s="288"/>
      <c r="B52" s="299"/>
      <c r="C52" s="288"/>
      <c r="D52" s="288"/>
      <c r="E52" s="288"/>
      <c r="F52" s="288"/>
      <c r="G52" s="288"/>
      <c r="H52" s="288"/>
      <c r="I52" s="288"/>
    </row>
    <row r="53" spans="1:9" ht="20" customHeight="1">
      <c r="A53" s="288"/>
      <c r="B53" s="299"/>
      <c r="C53" s="288"/>
      <c r="D53" s="288"/>
      <c r="E53" s="288"/>
      <c r="F53" s="288"/>
      <c r="G53" s="288"/>
      <c r="H53" s="288"/>
      <c r="I53" s="288"/>
    </row>
    <row r="54" spans="1:9" ht="20" customHeight="1">
      <c r="A54" s="288"/>
      <c r="B54" s="300"/>
      <c r="C54" s="288"/>
      <c r="D54" s="288"/>
      <c r="E54" s="288"/>
      <c r="F54" s="288"/>
      <c r="G54" s="288"/>
      <c r="H54" s="288"/>
      <c r="I54" s="288"/>
    </row>
    <row r="55" spans="1:9" ht="20" customHeight="1"/>
    <row r="56" spans="1:9" ht="20" customHeight="1"/>
    <row r="57" spans="1:9" ht="20" customHeight="1"/>
    <row r="58" spans="1:9" ht="20" customHeight="1"/>
    <row r="59" spans="1:9" ht="20" customHeight="1"/>
    <row r="60" spans="1:9" ht="20" customHeight="1"/>
    <row r="61" spans="1:9" ht="20" customHeight="1"/>
    <row r="62" spans="1:9" ht="20" customHeight="1"/>
    <row r="63" spans="1:9" ht="20" customHeight="1"/>
    <row r="64" spans="1:9"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s="290" customFormat="1" ht="20" customHeight="1"/>
    <row r="82" s="290" customFormat="1" ht="20" customHeight="1"/>
    <row r="83" s="290" customFormat="1" ht="20" customHeight="1"/>
    <row r="84" s="290" customFormat="1" ht="20" customHeight="1"/>
    <row r="85" s="290" customFormat="1" ht="20" customHeight="1"/>
    <row r="86" s="290" customFormat="1" ht="20" customHeight="1"/>
    <row r="87" s="290" customFormat="1" ht="20" customHeight="1"/>
  </sheetData>
  <sheetProtection formatCells="0" formatColumns="0" formatRows="0" selectLockedCells="1" sort="0" autoFilter="0" pivotTables="0"/>
  <mergeCells count="14">
    <mergeCell ref="F11:H11"/>
    <mergeCell ref="C12:E12"/>
    <mergeCell ref="C13:E13"/>
    <mergeCell ref="F17:H17"/>
    <mergeCell ref="F12:H12"/>
    <mergeCell ref="F13:H13"/>
    <mergeCell ref="F14:H14"/>
    <mergeCell ref="F15:H15"/>
    <mergeCell ref="F16:H16"/>
    <mergeCell ref="C14:E14"/>
    <mergeCell ref="C15:E15"/>
    <mergeCell ref="C16:E16"/>
    <mergeCell ref="C17:E17"/>
    <mergeCell ref="C11:E11"/>
  </mergeCells>
  <pageMargins left="0.25" right="0.25" top="0.75" bottom="0.75" header="0.3" footer="0.3"/>
  <pageSetup scale="58"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B099-38DE-4B93-901C-2242046843E3}">
  <sheetPr codeName="Feuil6"/>
  <dimension ref="A1:S87"/>
  <sheetViews>
    <sheetView showGridLines="0" showRowColHeaders="0" zoomScaleNormal="100" workbookViewId="0">
      <selection activeCell="H12" sqref="H12"/>
    </sheetView>
  </sheetViews>
  <sheetFormatPr baseColWidth="10" defaultColWidth="11.5" defaultRowHeight="15"/>
  <cols>
    <col min="1" max="1" width="2.6640625" style="290" customWidth="1"/>
    <col min="2" max="5" width="32.6640625" style="290" customWidth="1"/>
    <col min="6" max="7" width="20.6640625" style="290" customWidth="1"/>
    <col min="8" max="8" width="20.6640625" style="295" customWidth="1"/>
    <col min="9" max="16384" width="11.5" style="252"/>
  </cols>
  <sheetData>
    <row r="1" spans="1:19" s="268" customFormat="1" ht="39" customHeight="1">
      <c r="A1" s="266"/>
      <c r="B1" s="266"/>
      <c r="C1" s="266"/>
      <c r="D1" s="266"/>
      <c r="E1" s="266"/>
      <c r="F1" s="266"/>
      <c r="G1" s="266"/>
      <c r="H1" s="329"/>
      <c r="I1" s="266"/>
      <c r="J1" s="266"/>
      <c r="K1" s="266"/>
      <c r="L1" s="266"/>
      <c r="M1" s="266"/>
      <c r="N1" s="266"/>
      <c r="O1" s="266"/>
      <c r="P1" s="266"/>
      <c r="Q1" s="266"/>
      <c r="R1" s="266"/>
      <c r="S1" s="266"/>
    </row>
    <row r="2" spans="1:19" s="269" customFormat="1" ht="25" customHeight="1">
      <c r="A2" s="312"/>
      <c r="B2" s="312"/>
      <c r="C2" s="312"/>
      <c r="D2" s="312"/>
      <c r="E2" s="312"/>
      <c r="F2" s="312"/>
      <c r="G2" s="312"/>
      <c r="H2" s="330"/>
    </row>
    <row r="3" spans="1:19" s="114" customFormat="1" ht="18" customHeight="1">
      <c r="A3" s="331"/>
      <c r="B3" s="331"/>
      <c r="C3" s="331"/>
      <c r="D3" s="331"/>
      <c r="E3" s="331"/>
      <c r="F3" s="331"/>
      <c r="G3" s="331"/>
      <c r="H3" s="332"/>
    </row>
    <row r="4" spans="1:19" s="114" customFormat="1" ht="18" customHeight="1">
      <c r="A4" s="331"/>
      <c r="B4" s="331"/>
      <c r="C4" s="331"/>
      <c r="D4" s="331"/>
      <c r="E4" s="331"/>
      <c r="F4" s="331"/>
      <c r="G4" s="331"/>
      <c r="H4" s="332"/>
    </row>
    <row r="5" spans="1:19" s="251" customFormat="1" ht="20" customHeight="1">
      <c r="A5" s="287"/>
      <c r="B5" s="287"/>
      <c r="C5" s="287"/>
      <c r="D5" s="408"/>
      <c r="E5" s="287"/>
      <c r="F5" s="287"/>
      <c r="G5" s="287"/>
      <c r="H5" s="324"/>
    </row>
    <row r="6" spans="1:19" ht="20" customHeight="1">
      <c r="A6" s="288"/>
      <c r="B6" s="288"/>
      <c r="C6" s="288"/>
      <c r="D6" s="288"/>
      <c r="E6" s="288"/>
      <c r="F6" s="288"/>
      <c r="G6" s="288"/>
    </row>
    <row r="7" spans="1:19" ht="20" customHeight="1">
      <c r="A7" s="288"/>
      <c r="B7" s="303" t="str">
        <f>Lan!F43&amp;" - "&amp; Goals!C12</f>
        <v>2.3. Objetivos - Expandir la presencia nacional de Caracolitos mediante la apertura de nuevas sucursales.</v>
      </c>
      <c r="C7" s="303"/>
      <c r="D7" s="303"/>
      <c r="E7" s="303"/>
      <c r="F7" s="92"/>
      <c r="G7" s="92"/>
      <c r="H7" s="333"/>
    </row>
    <row r="8" spans="1:19" ht="20" customHeight="1">
      <c r="A8" s="288"/>
      <c r="B8" s="334" t="str">
        <f>Lan!F44</f>
        <v>Los objetivos proporcionan hitos específicos con un cronograma específico para lograr una meta.</v>
      </c>
      <c r="C8" s="92"/>
      <c r="D8" s="92"/>
      <c r="E8" s="92"/>
      <c r="F8" s="92"/>
      <c r="G8" s="92"/>
      <c r="H8" s="333"/>
    </row>
    <row r="9" spans="1:19" ht="20" customHeight="1" thickBot="1">
      <c r="A9" s="288"/>
      <c r="B9" s="92"/>
      <c r="C9" s="92"/>
      <c r="D9" s="92"/>
      <c r="E9" s="92"/>
      <c r="F9" s="92"/>
      <c r="G9" s="92"/>
      <c r="H9" s="333"/>
    </row>
    <row r="10" spans="1:19" s="406" customFormat="1" ht="20" customHeight="1" thickTop="1" thickBot="1">
      <c r="A10" s="325"/>
      <c r="B10" s="420" t="str">
        <f>IF(Goals!$C$12="","",Goals!$B$12)</f>
        <v>Meta 1</v>
      </c>
      <c r="C10" s="419" t="str">
        <f>IF(Goals!$C$13="","",Goals!$B$13)</f>
        <v>Meta 2</v>
      </c>
      <c r="D10" s="419" t="str">
        <f>IF(Goals!$C$14="","",Goals!$B$14)</f>
        <v>Meta 3</v>
      </c>
      <c r="E10" s="419" t="str">
        <f>IF(Goals!$C$15="","",Goals!$B$15)</f>
        <v>Meta 4</v>
      </c>
      <c r="F10" s="419" t="str">
        <f>IF(Goals!$C$16="","",Goals!$B$16)</f>
        <v>Meta 5</v>
      </c>
      <c r="G10" s="419" t="str">
        <f>IF(Goals!$C$17="","",Goals!$B$17)</f>
        <v>Meta 6</v>
      </c>
      <c r="H10" s="335"/>
    </row>
    <row r="11" spans="1:19" ht="30" customHeight="1" thickTop="1" thickBot="1">
      <c r="A11" s="288"/>
      <c r="B11" s="472" t="str">
        <f>Lan!F45</f>
        <v>Objetivos</v>
      </c>
      <c r="C11" s="472"/>
      <c r="D11" s="472" t="str">
        <f>SA!C10</f>
        <v>Áreas estratégicas</v>
      </c>
      <c r="E11" s="472"/>
      <c r="F11" s="336" t="str">
        <f>Lan!F47</f>
        <v>Formato</v>
      </c>
      <c r="G11" s="336" t="str">
        <f>Lan!F48</f>
        <v>Mejor dirección</v>
      </c>
      <c r="H11" s="337" t="str">
        <f>Lan!F59</f>
        <v>Expresiones</v>
      </c>
    </row>
    <row r="12" spans="1:19" ht="30" customHeight="1">
      <c r="A12" s="288"/>
      <c r="B12" s="487" t="s">
        <v>340</v>
      </c>
      <c r="C12" s="488"/>
      <c r="D12" s="485" t="s">
        <v>329</v>
      </c>
      <c r="E12" s="486"/>
      <c r="F12" s="89" t="s">
        <v>70</v>
      </c>
      <c r="G12" s="89" t="s">
        <v>71</v>
      </c>
      <c r="H12" s="212" t="s">
        <v>219</v>
      </c>
    </row>
    <row r="13" spans="1:19" ht="30" customHeight="1">
      <c r="A13" s="288"/>
      <c r="B13" s="489"/>
      <c r="C13" s="490"/>
      <c r="D13" s="483"/>
      <c r="E13" s="484"/>
      <c r="F13" s="90"/>
      <c r="G13" s="90"/>
      <c r="H13" s="213"/>
    </row>
    <row r="14" spans="1:19" ht="30" customHeight="1">
      <c r="A14" s="288"/>
      <c r="B14" s="489"/>
      <c r="C14" s="490"/>
      <c r="D14" s="483"/>
      <c r="E14" s="484"/>
      <c r="F14" s="90"/>
      <c r="G14" s="90"/>
      <c r="H14" s="213"/>
    </row>
    <row r="15" spans="1:19" ht="30" customHeight="1">
      <c r="A15" s="288"/>
      <c r="B15" s="489"/>
      <c r="C15" s="490"/>
      <c r="D15" s="483"/>
      <c r="E15" s="484"/>
      <c r="F15" s="90"/>
      <c r="G15" s="90"/>
      <c r="H15" s="213"/>
    </row>
    <row r="16" spans="1:19" ht="30" customHeight="1">
      <c r="A16" s="288"/>
      <c r="B16" s="489"/>
      <c r="C16" s="490"/>
      <c r="D16" s="483"/>
      <c r="E16" s="484"/>
      <c r="F16" s="90"/>
      <c r="G16" s="90"/>
      <c r="H16" s="213"/>
    </row>
    <row r="17" spans="1:9" ht="30" customHeight="1">
      <c r="A17" s="288"/>
      <c r="B17" s="489"/>
      <c r="C17" s="490"/>
      <c r="D17" s="483"/>
      <c r="E17" s="484"/>
      <c r="F17" s="90"/>
      <c r="G17" s="90"/>
      <c r="H17" s="213"/>
    </row>
    <row r="18" spans="1:9" ht="30" customHeight="1">
      <c r="A18" s="288"/>
      <c r="B18" s="489"/>
      <c r="C18" s="490"/>
      <c r="D18" s="483"/>
      <c r="E18" s="484"/>
      <c r="F18" s="90"/>
      <c r="G18" s="90"/>
      <c r="H18" s="213"/>
    </row>
    <row r="19" spans="1:9" ht="30" customHeight="1">
      <c r="A19" s="288"/>
      <c r="B19" s="489"/>
      <c r="C19" s="490"/>
      <c r="D19" s="483"/>
      <c r="E19" s="484"/>
      <c r="F19" s="464"/>
      <c r="G19" s="90"/>
      <c r="H19" s="213"/>
    </row>
    <row r="20" spans="1:9" ht="30" customHeight="1">
      <c r="A20" s="288"/>
      <c r="B20" s="489"/>
      <c r="C20" s="490"/>
      <c r="D20" s="483"/>
      <c r="E20" s="484"/>
      <c r="F20" s="90"/>
      <c r="G20" s="90"/>
      <c r="H20" s="213"/>
    </row>
    <row r="21" spans="1:9" ht="30" customHeight="1">
      <c r="A21" s="288"/>
      <c r="B21" s="489"/>
      <c r="C21" s="490"/>
      <c r="D21" s="483"/>
      <c r="E21" s="484"/>
      <c r="F21" s="91"/>
      <c r="G21" s="90"/>
      <c r="H21" s="213"/>
    </row>
    <row r="22" spans="1:9" ht="20" customHeight="1">
      <c r="A22" s="288"/>
      <c r="B22" s="326"/>
      <c r="C22" s="326"/>
      <c r="D22" s="326"/>
      <c r="E22" s="326"/>
      <c r="F22" s="326"/>
      <c r="G22" s="326"/>
      <c r="H22" s="327"/>
    </row>
    <row r="23" spans="1:9" ht="20" customHeight="1">
      <c r="A23" s="288"/>
      <c r="B23" s="311"/>
      <c r="C23" s="311"/>
      <c r="D23" s="311"/>
      <c r="E23" s="311"/>
      <c r="F23" s="311"/>
      <c r="G23" s="311"/>
      <c r="H23" s="327"/>
    </row>
    <row r="24" spans="1:9" ht="20" customHeight="1">
      <c r="A24" s="288"/>
      <c r="B24" s="299"/>
      <c r="C24" s="288"/>
      <c r="D24" s="288"/>
      <c r="E24" s="288"/>
      <c r="F24" s="288"/>
      <c r="G24" s="288"/>
      <c r="H24" s="327"/>
    </row>
    <row r="25" spans="1:9" ht="20" customHeight="1">
      <c r="A25" s="288"/>
      <c r="B25" s="299"/>
      <c r="C25" s="288"/>
      <c r="D25" s="288"/>
      <c r="E25" s="288"/>
      <c r="F25" s="288"/>
      <c r="G25" s="288"/>
      <c r="H25" s="327"/>
    </row>
    <row r="26" spans="1:9" ht="20" customHeight="1">
      <c r="A26" s="288"/>
      <c r="B26" s="299"/>
      <c r="C26" s="288"/>
      <c r="D26" s="288"/>
      <c r="E26" s="288"/>
      <c r="F26" s="288"/>
      <c r="G26" s="288"/>
    </row>
    <row r="27" spans="1:9" ht="20" customHeight="1">
      <c r="A27" s="288"/>
      <c r="B27" s="299"/>
      <c r="C27" s="288"/>
      <c r="D27" s="288"/>
      <c r="E27" s="288"/>
      <c r="F27" s="288"/>
      <c r="G27" s="288"/>
      <c r="H27" s="328"/>
      <c r="I27" s="407"/>
    </row>
    <row r="28" spans="1:9" ht="20" customHeight="1">
      <c r="A28" s="288"/>
      <c r="B28" s="299"/>
      <c r="C28" s="288"/>
      <c r="D28" s="288"/>
      <c r="E28" s="288"/>
      <c r="F28" s="288"/>
      <c r="G28" s="288"/>
    </row>
    <row r="29" spans="1:9" ht="20" customHeight="1">
      <c r="A29" s="288"/>
      <c r="B29" s="299"/>
      <c r="C29" s="288"/>
      <c r="D29" s="288"/>
      <c r="E29" s="288"/>
      <c r="F29" s="288"/>
      <c r="G29" s="288"/>
    </row>
    <row r="30" spans="1:9" ht="20" customHeight="1">
      <c r="A30" s="288"/>
      <c r="B30" s="299"/>
      <c r="C30" s="288"/>
      <c r="D30" s="288"/>
      <c r="E30" s="288"/>
      <c r="F30" s="288"/>
      <c r="G30" s="288"/>
    </row>
    <row r="31" spans="1:9" ht="20" customHeight="1">
      <c r="A31" s="288"/>
      <c r="B31" s="299"/>
      <c r="C31" s="288"/>
      <c r="D31" s="288"/>
      <c r="E31" s="288"/>
      <c r="F31" s="288"/>
      <c r="G31" s="288"/>
    </row>
    <row r="32" spans="1:9" ht="20" customHeight="1">
      <c r="A32" s="288"/>
      <c r="B32" s="299"/>
      <c r="C32" s="288"/>
      <c r="D32" s="288"/>
      <c r="E32" s="288"/>
      <c r="F32" s="288"/>
      <c r="G32" s="288"/>
    </row>
    <row r="33" spans="1:7" ht="20" customHeight="1">
      <c r="A33" s="288"/>
      <c r="B33" s="299"/>
      <c r="C33" s="288"/>
      <c r="D33" s="288"/>
      <c r="E33" s="288"/>
      <c r="F33" s="288"/>
      <c r="G33" s="288"/>
    </row>
    <row r="34" spans="1:7" ht="20" customHeight="1">
      <c r="A34" s="288"/>
      <c r="B34" s="299"/>
      <c r="C34" s="288"/>
      <c r="D34" s="288"/>
      <c r="E34" s="288"/>
      <c r="F34" s="288"/>
      <c r="G34" s="288"/>
    </row>
    <row r="35" spans="1:7" ht="20" customHeight="1">
      <c r="A35" s="288"/>
      <c r="B35" s="299"/>
      <c r="C35" s="288"/>
      <c r="D35" s="288"/>
      <c r="E35" s="288"/>
      <c r="F35" s="288"/>
      <c r="G35" s="288"/>
    </row>
    <row r="36" spans="1:7" ht="20" customHeight="1">
      <c r="A36" s="288"/>
      <c r="B36" s="299"/>
      <c r="C36" s="288"/>
      <c r="D36" s="288"/>
      <c r="E36" s="288"/>
      <c r="F36" s="288"/>
      <c r="G36" s="288"/>
    </row>
    <row r="37" spans="1:7" ht="20" customHeight="1">
      <c r="A37" s="288"/>
      <c r="B37" s="299"/>
      <c r="C37" s="288"/>
      <c r="D37" s="288"/>
      <c r="E37" s="288"/>
      <c r="F37" s="288"/>
      <c r="G37" s="288"/>
    </row>
    <row r="38" spans="1:7" ht="20" customHeight="1">
      <c r="A38" s="288"/>
      <c r="B38" s="299"/>
      <c r="C38" s="288"/>
      <c r="D38" s="288"/>
      <c r="E38" s="288"/>
      <c r="F38" s="288"/>
      <c r="G38" s="288"/>
    </row>
    <row r="39" spans="1:7" ht="20" customHeight="1">
      <c r="A39" s="288"/>
      <c r="B39" s="299"/>
      <c r="C39" s="288"/>
      <c r="D39" s="288"/>
      <c r="E39" s="288"/>
      <c r="F39" s="288"/>
      <c r="G39" s="288"/>
    </row>
    <row r="40" spans="1:7" ht="20" customHeight="1">
      <c r="A40" s="288"/>
      <c r="B40" s="299"/>
      <c r="C40" s="288"/>
      <c r="D40" s="288"/>
      <c r="E40" s="288"/>
      <c r="F40" s="288"/>
      <c r="G40" s="288"/>
    </row>
    <row r="41" spans="1:7" ht="20" customHeight="1">
      <c r="A41" s="288"/>
      <c r="B41" s="299"/>
      <c r="C41" s="288"/>
      <c r="D41" s="288"/>
      <c r="E41" s="288"/>
      <c r="F41" s="288"/>
      <c r="G41" s="288"/>
    </row>
    <row r="42" spans="1:7" ht="20" customHeight="1">
      <c r="A42" s="288"/>
      <c r="B42" s="299"/>
      <c r="C42" s="288"/>
      <c r="D42" s="288"/>
      <c r="E42" s="288"/>
      <c r="F42" s="288"/>
      <c r="G42" s="288"/>
    </row>
    <row r="43" spans="1:7" ht="20" customHeight="1">
      <c r="A43" s="288"/>
      <c r="B43" s="299"/>
      <c r="C43" s="288"/>
      <c r="D43" s="288"/>
      <c r="E43" s="288"/>
      <c r="F43" s="288"/>
      <c r="G43" s="288"/>
    </row>
    <row r="44" spans="1:7" ht="20" customHeight="1">
      <c r="A44" s="288"/>
      <c r="B44" s="299"/>
      <c r="C44" s="288"/>
      <c r="D44" s="288"/>
      <c r="E44" s="288"/>
      <c r="F44" s="288"/>
      <c r="G44" s="288"/>
    </row>
    <row r="45" spans="1:7" ht="20" customHeight="1">
      <c r="A45" s="288"/>
      <c r="B45" s="299"/>
      <c r="C45" s="288"/>
      <c r="D45" s="288"/>
      <c r="E45" s="288"/>
      <c r="F45" s="288"/>
      <c r="G45" s="288"/>
    </row>
    <row r="46" spans="1:7" ht="20" customHeight="1">
      <c r="A46" s="288"/>
      <c r="B46" s="299"/>
      <c r="C46" s="288"/>
      <c r="D46" s="288"/>
      <c r="E46" s="288"/>
      <c r="F46" s="288"/>
      <c r="G46" s="288"/>
    </row>
    <row r="47" spans="1:7" ht="20" customHeight="1">
      <c r="A47" s="288"/>
      <c r="B47" s="299"/>
      <c r="C47" s="288"/>
      <c r="D47" s="288"/>
      <c r="E47" s="288"/>
      <c r="F47" s="288"/>
      <c r="G47" s="288"/>
    </row>
    <row r="48" spans="1:7" ht="20" customHeight="1">
      <c r="A48" s="288"/>
      <c r="B48" s="299"/>
      <c r="C48" s="288"/>
      <c r="D48" s="288"/>
      <c r="E48" s="288"/>
      <c r="F48" s="288"/>
      <c r="G48" s="288"/>
    </row>
    <row r="49" spans="1:7" ht="20" customHeight="1">
      <c r="A49" s="288"/>
      <c r="B49" s="299"/>
      <c r="C49" s="288"/>
      <c r="D49" s="288"/>
      <c r="E49" s="288"/>
      <c r="F49" s="288"/>
      <c r="G49" s="288"/>
    </row>
    <row r="50" spans="1:7" ht="20" customHeight="1">
      <c r="A50" s="288"/>
      <c r="B50" s="299"/>
      <c r="C50" s="288"/>
      <c r="D50" s="288"/>
      <c r="E50" s="288"/>
      <c r="F50" s="288"/>
      <c r="G50" s="288"/>
    </row>
    <row r="51" spans="1:7" ht="20" customHeight="1">
      <c r="A51" s="288"/>
      <c r="B51" s="299"/>
      <c r="C51" s="288"/>
      <c r="D51" s="288"/>
      <c r="E51" s="288"/>
      <c r="F51" s="288"/>
      <c r="G51" s="288"/>
    </row>
    <row r="52" spans="1:7" ht="20" customHeight="1">
      <c r="A52" s="288"/>
      <c r="B52" s="299"/>
      <c r="C52" s="288"/>
      <c r="D52" s="288"/>
      <c r="E52" s="288"/>
      <c r="F52" s="288"/>
      <c r="G52" s="288"/>
    </row>
    <row r="53" spans="1:7" ht="20" customHeight="1">
      <c r="A53" s="288"/>
      <c r="B53" s="299"/>
      <c r="C53" s="288"/>
      <c r="D53" s="288"/>
      <c r="E53" s="288"/>
      <c r="F53" s="288"/>
      <c r="G53" s="288"/>
    </row>
    <row r="54" spans="1:7" ht="20" customHeight="1">
      <c r="A54" s="288"/>
      <c r="B54" s="300"/>
      <c r="C54" s="288"/>
      <c r="D54" s="288"/>
      <c r="E54" s="288"/>
      <c r="F54" s="288"/>
      <c r="G54" s="288"/>
    </row>
    <row r="55" spans="1:7" ht="20" customHeight="1"/>
    <row r="56" spans="1:7" ht="20" customHeight="1"/>
    <row r="57" spans="1:7" ht="20" customHeight="1"/>
    <row r="58" spans="1:7" ht="20" customHeight="1"/>
    <row r="59" spans="1:7" ht="20" customHeight="1"/>
    <row r="60" spans="1:7" ht="20" customHeight="1"/>
    <row r="61" spans="1:7" ht="20" customHeight="1"/>
    <row r="62" spans="1:7" ht="20" customHeight="1"/>
    <row r="63" spans="1:7" ht="20" customHeight="1"/>
    <row r="64" spans="1:7"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sheetData>
  <sheetProtection formatCells="0" formatColumns="0" formatRows="0" selectLockedCells="1" sort="0" autoFilter="0" pivotTables="0"/>
  <mergeCells count="22">
    <mergeCell ref="B20:C20"/>
    <mergeCell ref="B21:C21"/>
    <mergeCell ref="B14:C14"/>
    <mergeCell ref="B15:C15"/>
    <mergeCell ref="B16:C16"/>
    <mergeCell ref="B17:C17"/>
    <mergeCell ref="B18:C18"/>
    <mergeCell ref="B11:C11"/>
    <mergeCell ref="B12:C12"/>
    <mergeCell ref="B13:C13"/>
    <mergeCell ref="D11:E11"/>
    <mergeCell ref="B19:C19"/>
    <mergeCell ref="D19:E19"/>
    <mergeCell ref="D20:E20"/>
    <mergeCell ref="D21:E21"/>
    <mergeCell ref="D13:E13"/>
    <mergeCell ref="D12:E12"/>
    <mergeCell ref="D14:E14"/>
    <mergeCell ref="D15:E15"/>
    <mergeCell ref="D16:E16"/>
    <mergeCell ref="D17:E17"/>
    <mergeCell ref="D18:E18"/>
  </mergeCells>
  <phoneticPr fontId="31" type="noConversion"/>
  <conditionalFormatting sqref="B10:G10">
    <cfRule type="expression" dxfId="1124" priority="1">
      <formula>B$10=""</formula>
    </cfRule>
  </conditionalFormatting>
  <dataValidations count="4">
    <dataValidation type="list" allowBlank="1" showInputMessage="1" showErrorMessage="1" sqref="F12:F21" xr:uid="{2A90CF17-2DB9-4ACD-82DD-4ED320E652E8}">
      <formula1>Format</formula1>
    </dataValidation>
    <dataValidation type="list" allowBlank="1" showInputMessage="1" showErrorMessage="1" sqref="G12:G21" xr:uid="{44114CD9-B615-4759-B164-A096C71D6362}">
      <formula1>Direction</formula1>
    </dataValidation>
    <dataValidation type="list" allowBlank="1" showInputMessage="1" showErrorMessage="1" sqref="H12:H21" xr:uid="{C5E5FEC9-30B2-4CAE-BDCC-3FD7F1110A7E}">
      <formula1>expression</formula1>
    </dataValidation>
    <dataValidation type="list" allowBlank="1" showInputMessage="1" showErrorMessage="1" sqref="D12:E21" xr:uid="{5A601906-F7D2-4A62-9685-4675B78DCB51}">
      <formula1>DRangeAreas</formula1>
    </dataValidation>
  </dataValidations>
  <hyperlinks>
    <hyperlink ref="B10" location="'O1'!A1" display="'O1'!A1" xr:uid="{B53BD497-0557-4665-B8FC-EFEDACCAE7C0}"/>
    <hyperlink ref="C10" location="'O2'!A1" display="'O2'!A1" xr:uid="{C23E5826-052E-4647-AA86-A336D9329B12}"/>
    <hyperlink ref="D10" location="'O3'!A1" display="'O3'!A1" xr:uid="{EE2E2B36-C406-43B6-817A-866EE834CD50}"/>
    <hyperlink ref="E10" location="'O4'!A1" display="'O4'!A1" xr:uid="{ADA11982-36C2-4F0D-B64C-CBAFD8F08733}"/>
    <hyperlink ref="F10" location="'O5'!A1" display="'O5'!A1" xr:uid="{CA20A196-535D-4B2F-99F3-8EC5409DEB81}"/>
    <hyperlink ref="G10" location="'O6'!A1" display="'O6'!A1" xr:uid="{0898CDD8-8074-4AE8-ACBE-A9298E0C3CB2}"/>
  </hyperlinks>
  <pageMargins left="0.25" right="0.25" top="0.75" bottom="0.75" header="0.3" footer="0.3"/>
  <pageSetup scale="58"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43123-AD60-49EF-A1E3-1888CE02816B}">
  <dimension ref="A1:S87"/>
  <sheetViews>
    <sheetView showGridLines="0" showRowColHeaders="0" zoomScaleNormal="100" workbookViewId="0">
      <selection activeCell="G12" sqref="G12"/>
    </sheetView>
  </sheetViews>
  <sheetFormatPr baseColWidth="10" defaultColWidth="11.5" defaultRowHeight="15"/>
  <cols>
    <col min="1" max="1" width="2.6640625" style="290" customWidth="1"/>
    <col min="2" max="5" width="32.6640625" style="290" customWidth="1"/>
    <col min="6" max="8" width="20.6640625" style="290" customWidth="1"/>
    <col min="9" max="16384" width="11.5" style="290"/>
  </cols>
  <sheetData>
    <row r="1" spans="1:19" s="268" customFormat="1" ht="39" customHeight="1">
      <c r="A1" s="266"/>
      <c r="B1" s="266"/>
      <c r="C1" s="266"/>
      <c r="D1" s="266"/>
      <c r="E1" s="266"/>
      <c r="F1" s="266"/>
      <c r="G1" s="266"/>
      <c r="H1" s="266"/>
      <c r="I1" s="266"/>
      <c r="J1" s="266"/>
      <c r="K1" s="266"/>
      <c r="L1" s="266"/>
      <c r="M1" s="266"/>
      <c r="N1" s="266"/>
      <c r="O1" s="266"/>
      <c r="P1" s="266"/>
      <c r="Q1" s="266"/>
      <c r="R1" s="266"/>
      <c r="S1" s="266"/>
    </row>
    <row r="2" spans="1:19" s="312" customFormat="1" ht="25" customHeight="1"/>
    <row r="3" spans="1:19" s="331" customFormat="1" ht="18" customHeight="1"/>
    <row r="4" spans="1:19" s="331" customFormat="1" ht="18" customHeight="1"/>
    <row r="5" spans="1:19" s="287" customFormat="1" ht="20" customHeight="1"/>
    <row r="6" spans="1:19" s="287" customFormat="1" ht="20" customHeight="1">
      <c r="A6" s="285"/>
      <c r="B6" s="285"/>
      <c r="C6" s="285"/>
      <c r="D6" s="285"/>
      <c r="E6" s="285"/>
      <c r="F6" s="285"/>
      <c r="G6" s="285"/>
    </row>
    <row r="7" spans="1:19" ht="20" customHeight="1">
      <c r="A7" s="288"/>
      <c r="B7" s="303" t="str">
        <f>Lan!F43&amp;" - "&amp; Goals!C13</f>
        <v>2.3. Objetivos - Mejorar la productividad de los procesos operativos en planta.</v>
      </c>
      <c r="C7" s="303"/>
      <c r="D7" s="303"/>
      <c r="E7" s="303"/>
      <c r="F7" s="92"/>
      <c r="G7" s="92"/>
      <c r="H7" s="93"/>
    </row>
    <row r="8" spans="1:19" ht="20" customHeight="1">
      <c r="A8" s="288"/>
      <c r="B8" s="334" t="str">
        <f>Lan!F44</f>
        <v>Los objetivos proporcionan hitos específicos con un cronograma específico para lograr una meta.</v>
      </c>
      <c r="C8" s="92"/>
      <c r="D8" s="92"/>
      <c r="E8" s="92"/>
      <c r="F8" s="92"/>
      <c r="G8" s="92"/>
      <c r="H8" s="93"/>
    </row>
    <row r="9" spans="1:19" ht="20" customHeight="1" thickBot="1">
      <c r="A9" s="288"/>
      <c r="B9" s="92"/>
      <c r="C9" s="92"/>
      <c r="D9" s="92"/>
      <c r="E9" s="92"/>
      <c r="F9" s="92"/>
      <c r="G9" s="92"/>
      <c r="H9" s="93"/>
    </row>
    <row r="10" spans="1:19" s="338" customFormat="1" ht="20" customHeight="1" thickTop="1" thickBot="1">
      <c r="B10" s="419" t="str">
        <f>IF(Goals!$C$12="","",Goals!$B$12)</f>
        <v>Meta 1</v>
      </c>
      <c r="C10" s="420" t="str">
        <f>IF(Goals!$C$13="","",Goals!$B$13)</f>
        <v>Meta 2</v>
      </c>
      <c r="D10" s="419" t="str">
        <f>IF(Goals!$C$14="","",Goals!$B$14)</f>
        <v>Meta 3</v>
      </c>
      <c r="E10" s="419" t="str">
        <f>IF(Goals!$C$15="","",Goals!$B$15)</f>
        <v>Meta 4</v>
      </c>
      <c r="F10" s="419" t="str">
        <f>IF(Goals!$C$16="","",Goals!$B$16)</f>
        <v>Meta 5</v>
      </c>
      <c r="G10" s="419" t="str">
        <f>IF(Goals!$C$17="","",Goals!$B$17)</f>
        <v>Meta 6</v>
      </c>
      <c r="H10" s="343"/>
    </row>
    <row r="11" spans="1:19" ht="30" customHeight="1" thickTop="1" thickBot="1">
      <c r="A11" s="288"/>
      <c r="B11" s="472" t="str">
        <f>Lan!F45</f>
        <v>Objetivos</v>
      </c>
      <c r="C11" s="472"/>
      <c r="D11" s="493" t="str">
        <f>SA!C10</f>
        <v>Áreas estratégicas</v>
      </c>
      <c r="E11" s="493"/>
      <c r="F11" s="336" t="str">
        <f>Lan!F47</f>
        <v>Formato</v>
      </c>
      <c r="G11" s="336" t="str">
        <f>Lan!F48</f>
        <v>Mejor dirección</v>
      </c>
      <c r="H11" s="337" t="str">
        <f>Lan!F59</f>
        <v>Expresiones</v>
      </c>
    </row>
    <row r="12" spans="1:19" ht="30" customHeight="1">
      <c r="A12" s="288"/>
      <c r="B12" s="489" t="s">
        <v>341</v>
      </c>
      <c r="C12" s="490"/>
      <c r="D12" s="483" t="s">
        <v>330</v>
      </c>
      <c r="E12" s="484"/>
      <c r="F12" s="90" t="s">
        <v>63</v>
      </c>
      <c r="G12" s="90" t="s">
        <v>72</v>
      </c>
      <c r="H12" s="213" t="s">
        <v>220</v>
      </c>
    </row>
    <row r="13" spans="1:19" ht="30" customHeight="1">
      <c r="A13" s="288"/>
      <c r="B13" s="489"/>
      <c r="C13" s="490"/>
      <c r="D13" s="483"/>
      <c r="E13" s="484"/>
      <c r="F13" s="90"/>
      <c r="G13" s="90"/>
      <c r="H13" s="213"/>
    </row>
    <row r="14" spans="1:19" ht="30" customHeight="1">
      <c r="A14" s="288"/>
      <c r="B14" s="489"/>
      <c r="C14" s="490"/>
      <c r="D14" s="483"/>
      <c r="E14" s="484"/>
      <c r="F14" s="90"/>
      <c r="G14" s="90"/>
      <c r="H14" s="213"/>
    </row>
    <row r="15" spans="1:19" ht="30" customHeight="1">
      <c r="A15" s="288"/>
      <c r="B15" s="489"/>
      <c r="C15" s="490"/>
      <c r="D15" s="483"/>
      <c r="E15" s="484"/>
      <c r="F15" s="90"/>
      <c r="G15" s="90"/>
      <c r="H15" s="213"/>
    </row>
    <row r="16" spans="1:19" ht="30" customHeight="1">
      <c r="A16" s="288"/>
      <c r="B16" s="489"/>
      <c r="C16" s="490"/>
      <c r="D16" s="483"/>
      <c r="E16" s="484"/>
      <c r="F16" s="90"/>
      <c r="G16" s="90"/>
      <c r="H16" s="213"/>
    </row>
    <row r="17" spans="1:9" ht="30" customHeight="1">
      <c r="A17" s="288"/>
      <c r="B17" s="489"/>
      <c r="C17" s="490"/>
      <c r="D17" s="483"/>
      <c r="E17" s="484"/>
      <c r="F17" s="90"/>
      <c r="G17" s="90"/>
      <c r="H17" s="213"/>
    </row>
    <row r="18" spans="1:9" ht="30" customHeight="1">
      <c r="A18" s="288"/>
      <c r="B18" s="489"/>
      <c r="C18" s="490"/>
      <c r="D18" s="483"/>
      <c r="E18" s="484"/>
      <c r="F18" s="464"/>
      <c r="G18" s="90"/>
      <c r="H18" s="213"/>
    </row>
    <row r="19" spans="1:9" ht="30" customHeight="1">
      <c r="A19" s="288"/>
      <c r="B19" s="489"/>
      <c r="C19" s="490"/>
      <c r="D19" s="483"/>
      <c r="E19" s="484"/>
      <c r="F19" s="90"/>
      <c r="G19" s="90"/>
      <c r="H19" s="213"/>
    </row>
    <row r="20" spans="1:9" ht="30" customHeight="1">
      <c r="A20" s="288"/>
      <c r="B20" s="489"/>
      <c r="C20" s="490"/>
      <c r="D20" s="483"/>
      <c r="E20" s="484"/>
      <c r="F20" s="91"/>
      <c r="G20" s="90"/>
      <c r="H20" s="213"/>
    </row>
    <row r="21" spans="1:9" ht="30" customHeight="1">
      <c r="A21" s="288"/>
      <c r="B21" s="489"/>
      <c r="C21" s="490"/>
      <c r="D21" s="491"/>
      <c r="E21" s="492"/>
      <c r="F21" s="339"/>
      <c r="G21" s="341"/>
      <c r="H21" s="340"/>
      <c r="I21" s="316"/>
    </row>
    <row r="22" spans="1:9" ht="20" customHeight="1">
      <c r="A22" s="288"/>
      <c r="B22" s="326"/>
      <c r="C22" s="326"/>
      <c r="D22" s="326"/>
      <c r="E22" s="326"/>
      <c r="F22" s="326"/>
      <c r="G22" s="326"/>
      <c r="H22" s="342"/>
      <c r="I22" s="316"/>
    </row>
    <row r="23" spans="1:9" ht="20" customHeight="1">
      <c r="A23" s="288"/>
      <c r="B23" s="311"/>
      <c r="C23" s="311"/>
      <c r="D23" s="311"/>
      <c r="E23" s="311"/>
      <c r="F23" s="311"/>
      <c r="G23" s="311"/>
      <c r="H23" s="316"/>
      <c r="I23" s="316"/>
    </row>
    <row r="24" spans="1:9" ht="20" customHeight="1">
      <c r="A24" s="288"/>
      <c r="B24" s="299"/>
      <c r="C24" s="288"/>
      <c r="D24" s="288"/>
      <c r="E24" s="288"/>
      <c r="F24" s="288"/>
      <c r="G24" s="288"/>
      <c r="H24" s="316"/>
      <c r="I24" s="316"/>
    </row>
    <row r="25" spans="1:9" ht="20" customHeight="1">
      <c r="A25" s="288"/>
      <c r="B25" s="299"/>
      <c r="C25" s="288"/>
      <c r="D25" s="288"/>
      <c r="E25" s="288"/>
      <c r="F25" s="288"/>
      <c r="G25" s="288"/>
      <c r="H25" s="316"/>
      <c r="I25" s="316"/>
    </row>
    <row r="26" spans="1:9" ht="20" customHeight="1">
      <c r="A26" s="288"/>
      <c r="B26" s="299"/>
      <c r="C26" s="288"/>
      <c r="D26" s="288"/>
      <c r="E26" s="288"/>
      <c r="F26" s="288"/>
      <c r="G26" s="288"/>
    </row>
    <row r="27" spans="1:9" ht="20" customHeight="1">
      <c r="A27" s="288"/>
      <c r="B27" s="299"/>
      <c r="C27" s="288"/>
      <c r="D27" s="288"/>
      <c r="E27" s="288"/>
      <c r="F27" s="288"/>
      <c r="G27" s="288"/>
      <c r="H27" s="310"/>
      <c r="I27" s="310"/>
    </row>
    <row r="28" spans="1:9" ht="20" customHeight="1">
      <c r="A28" s="288"/>
      <c r="B28" s="299"/>
      <c r="C28" s="288"/>
      <c r="D28" s="288"/>
      <c r="E28" s="288"/>
      <c r="F28" s="288"/>
      <c r="G28" s="288"/>
    </row>
    <row r="29" spans="1:9" ht="20" customHeight="1">
      <c r="A29" s="288"/>
      <c r="B29" s="299"/>
      <c r="C29" s="288"/>
      <c r="D29" s="288"/>
      <c r="E29" s="288"/>
      <c r="F29" s="288"/>
      <c r="G29" s="288"/>
    </row>
    <row r="30" spans="1:9" ht="20" customHeight="1">
      <c r="A30" s="288"/>
      <c r="B30" s="299"/>
      <c r="C30" s="288"/>
      <c r="D30" s="288"/>
      <c r="E30" s="288"/>
      <c r="F30" s="288"/>
      <c r="G30" s="288"/>
    </row>
    <row r="31" spans="1:9" ht="20" customHeight="1">
      <c r="A31" s="288"/>
      <c r="B31" s="299"/>
      <c r="C31" s="288"/>
      <c r="D31" s="288"/>
      <c r="E31" s="288"/>
      <c r="F31" s="288"/>
      <c r="G31" s="288"/>
    </row>
    <row r="32" spans="1:9" ht="20" customHeight="1">
      <c r="A32" s="288"/>
      <c r="B32" s="299"/>
      <c r="C32" s="288"/>
      <c r="D32" s="288"/>
      <c r="E32" s="288"/>
      <c r="F32" s="288"/>
      <c r="G32" s="288"/>
    </row>
    <row r="33" spans="1:7" ht="20" customHeight="1">
      <c r="A33" s="288"/>
      <c r="B33" s="299"/>
      <c r="C33" s="288"/>
      <c r="D33" s="288"/>
      <c r="E33" s="288"/>
      <c r="F33" s="288"/>
      <c r="G33" s="288"/>
    </row>
    <row r="34" spans="1:7" ht="20" customHeight="1">
      <c r="A34" s="288"/>
      <c r="B34" s="299"/>
      <c r="C34" s="288"/>
      <c r="D34" s="288"/>
      <c r="E34" s="288"/>
      <c r="F34" s="288"/>
      <c r="G34" s="288"/>
    </row>
    <row r="35" spans="1:7" ht="20" customHeight="1">
      <c r="A35" s="288"/>
      <c r="B35" s="299"/>
      <c r="C35" s="288"/>
      <c r="D35" s="288"/>
      <c r="E35" s="288"/>
      <c r="F35" s="288"/>
      <c r="G35" s="288"/>
    </row>
    <row r="36" spans="1:7" ht="20" customHeight="1">
      <c r="A36" s="288"/>
      <c r="B36" s="299"/>
      <c r="C36" s="288"/>
      <c r="D36" s="288"/>
      <c r="E36" s="288"/>
      <c r="F36" s="288"/>
      <c r="G36" s="288"/>
    </row>
    <row r="37" spans="1:7" ht="20" customHeight="1">
      <c r="A37" s="288"/>
      <c r="B37" s="299"/>
      <c r="C37" s="288"/>
      <c r="D37" s="288"/>
      <c r="E37" s="288"/>
      <c r="F37" s="288"/>
      <c r="G37" s="288"/>
    </row>
    <row r="38" spans="1:7" ht="20" customHeight="1">
      <c r="A38" s="288"/>
      <c r="B38" s="299"/>
      <c r="C38" s="288"/>
      <c r="D38" s="288"/>
      <c r="E38" s="288"/>
      <c r="F38" s="288"/>
      <c r="G38" s="288"/>
    </row>
    <row r="39" spans="1:7" ht="20" customHeight="1">
      <c r="A39" s="288"/>
      <c r="B39" s="299"/>
      <c r="C39" s="288"/>
      <c r="D39" s="288"/>
      <c r="E39" s="288"/>
      <c r="F39" s="288"/>
      <c r="G39" s="288"/>
    </row>
    <row r="40" spans="1:7" ht="20" customHeight="1">
      <c r="A40" s="288"/>
      <c r="B40" s="299"/>
      <c r="C40" s="288"/>
      <c r="D40" s="288"/>
      <c r="E40" s="288"/>
      <c r="F40" s="288"/>
      <c r="G40" s="288"/>
    </row>
    <row r="41" spans="1:7" ht="20" customHeight="1">
      <c r="A41" s="288"/>
      <c r="B41" s="299"/>
      <c r="C41" s="288"/>
      <c r="D41" s="288"/>
      <c r="E41" s="288"/>
      <c r="F41" s="288"/>
      <c r="G41" s="288"/>
    </row>
    <row r="42" spans="1:7" ht="20" customHeight="1">
      <c r="A42" s="288"/>
      <c r="B42" s="299"/>
      <c r="C42" s="288"/>
      <c r="D42" s="288"/>
      <c r="E42" s="288"/>
      <c r="F42" s="288"/>
      <c r="G42" s="288"/>
    </row>
    <row r="43" spans="1:7" ht="20" customHeight="1">
      <c r="A43" s="288"/>
      <c r="B43" s="299"/>
      <c r="C43" s="288"/>
      <c r="D43" s="288"/>
      <c r="E43" s="288"/>
      <c r="F43" s="288"/>
      <c r="G43" s="288"/>
    </row>
    <row r="44" spans="1:7" ht="20" customHeight="1">
      <c r="A44" s="288"/>
      <c r="B44" s="299"/>
      <c r="C44" s="288"/>
      <c r="D44" s="288"/>
      <c r="E44" s="288"/>
      <c r="F44" s="288"/>
      <c r="G44" s="288"/>
    </row>
    <row r="45" spans="1:7" ht="20" customHeight="1">
      <c r="A45" s="288"/>
      <c r="B45" s="299"/>
      <c r="C45" s="288"/>
      <c r="D45" s="288"/>
      <c r="E45" s="288"/>
      <c r="F45" s="288"/>
      <c r="G45" s="288"/>
    </row>
    <row r="46" spans="1:7" ht="20" customHeight="1">
      <c r="A46" s="288"/>
      <c r="B46" s="299"/>
      <c r="C46" s="288"/>
      <c r="D46" s="288"/>
      <c r="E46" s="288"/>
      <c r="F46" s="288"/>
      <c r="G46" s="288"/>
    </row>
    <row r="47" spans="1:7" ht="20" customHeight="1">
      <c r="A47" s="288"/>
      <c r="B47" s="299"/>
      <c r="C47" s="288"/>
      <c r="D47" s="288"/>
      <c r="E47" s="288"/>
      <c r="F47" s="288"/>
      <c r="G47" s="288"/>
    </row>
    <row r="48" spans="1:7" ht="20" customHeight="1">
      <c r="A48" s="288"/>
      <c r="B48" s="299"/>
      <c r="C48" s="288"/>
      <c r="D48" s="288"/>
      <c r="E48" s="288"/>
      <c r="F48" s="288"/>
      <c r="G48" s="288"/>
    </row>
    <row r="49" spans="1:7" ht="20" customHeight="1">
      <c r="A49" s="288"/>
      <c r="B49" s="299"/>
      <c r="C49" s="288"/>
      <c r="D49" s="288"/>
      <c r="E49" s="288"/>
      <c r="F49" s="288"/>
      <c r="G49" s="288"/>
    </row>
    <row r="50" spans="1:7" ht="20" customHeight="1">
      <c r="A50" s="288"/>
      <c r="B50" s="299"/>
      <c r="C50" s="288"/>
      <c r="D50" s="288"/>
      <c r="E50" s="288"/>
      <c r="F50" s="288"/>
      <c r="G50" s="288"/>
    </row>
    <row r="51" spans="1:7" ht="20" customHeight="1">
      <c r="A51" s="288"/>
      <c r="B51" s="299"/>
      <c r="C51" s="288"/>
      <c r="D51" s="288"/>
      <c r="E51" s="288"/>
      <c r="F51" s="288"/>
      <c r="G51" s="288"/>
    </row>
    <row r="52" spans="1:7" ht="20" customHeight="1">
      <c r="A52" s="288"/>
      <c r="B52" s="299"/>
      <c r="C52" s="288"/>
      <c r="D52" s="288"/>
      <c r="E52" s="288"/>
      <c r="F52" s="288"/>
      <c r="G52" s="288"/>
    </row>
    <row r="53" spans="1:7" ht="20" customHeight="1">
      <c r="A53" s="288"/>
      <c r="B53" s="299"/>
      <c r="C53" s="288"/>
      <c r="D53" s="288"/>
      <c r="E53" s="288"/>
      <c r="F53" s="288"/>
      <c r="G53" s="288"/>
    </row>
    <row r="54" spans="1:7" ht="20" customHeight="1">
      <c r="A54" s="288"/>
      <c r="B54" s="300"/>
      <c r="C54" s="288"/>
      <c r="D54" s="288"/>
      <c r="E54" s="288"/>
      <c r="F54" s="288"/>
      <c r="G54" s="288"/>
    </row>
    <row r="55" spans="1:7" ht="20" customHeight="1"/>
    <row r="56" spans="1:7" ht="20" customHeight="1"/>
    <row r="57" spans="1:7" ht="20" customHeight="1"/>
    <row r="58" spans="1:7" ht="20" customHeight="1"/>
    <row r="59" spans="1:7" ht="20" customHeight="1"/>
    <row r="60" spans="1:7" ht="20" customHeight="1"/>
    <row r="61" spans="1:7" ht="20" customHeight="1"/>
    <row r="62" spans="1:7" ht="20" customHeight="1"/>
    <row r="63" spans="1:7" ht="20" customHeight="1"/>
    <row r="64" spans="1:7"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s="290" customFormat="1" ht="20" customHeight="1"/>
    <row r="82" s="290" customFormat="1" ht="20" customHeight="1"/>
    <row r="83" s="290" customFormat="1" ht="20" customHeight="1"/>
    <row r="84" s="290" customFormat="1" ht="20" customHeight="1"/>
    <row r="85" s="290" customFormat="1" ht="20" customHeight="1"/>
    <row r="86" s="290" customFormat="1" ht="20" customHeight="1"/>
    <row r="87" s="290" customFormat="1" ht="20" customHeight="1"/>
  </sheetData>
  <sheetProtection formatCells="0" formatColumns="0" formatRows="0" selectLockedCells="1" sort="0" autoFilter="0" pivotTables="0"/>
  <mergeCells count="22">
    <mergeCell ref="B14:C14"/>
    <mergeCell ref="D14:E14"/>
    <mergeCell ref="B15:C15"/>
    <mergeCell ref="D15:E15"/>
    <mergeCell ref="B11:C11"/>
    <mergeCell ref="D11:E11"/>
    <mergeCell ref="B12:C12"/>
    <mergeCell ref="D12:E12"/>
    <mergeCell ref="B13:C13"/>
    <mergeCell ref="D13:E13"/>
    <mergeCell ref="B21:C21"/>
    <mergeCell ref="D21:E21"/>
    <mergeCell ref="B16:C16"/>
    <mergeCell ref="D16:E16"/>
    <mergeCell ref="B17:C17"/>
    <mergeCell ref="D17:E17"/>
    <mergeCell ref="B18:C18"/>
    <mergeCell ref="D18:E18"/>
    <mergeCell ref="B19:C19"/>
    <mergeCell ref="D19:E19"/>
    <mergeCell ref="B20:C20"/>
    <mergeCell ref="D20:E20"/>
  </mergeCells>
  <phoneticPr fontId="31" type="noConversion"/>
  <conditionalFormatting sqref="B10:G10">
    <cfRule type="expression" dxfId="1123" priority="1">
      <formula>B$10=""</formula>
    </cfRule>
  </conditionalFormatting>
  <dataValidations count="4">
    <dataValidation type="list" allowBlank="1" showInputMessage="1" showErrorMessage="1" sqref="H12:H21" xr:uid="{E0D11EF2-D298-42E1-9CFA-BA8699BE5BA2}">
      <formula1>expression</formula1>
    </dataValidation>
    <dataValidation type="list" allowBlank="1" showInputMessage="1" showErrorMessage="1" sqref="G12:G21" xr:uid="{6C0376C3-F9E9-49B3-BF3C-9DDCCAFA2A1A}">
      <formula1>Direction</formula1>
    </dataValidation>
    <dataValidation type="list" allowBlank="1" showInputMessage="1" showErrorMessage="1" sqref="F12:F21" xr:uid="{1C62EA09-CB08-4E89-9F15-DF50D09BFAE7}">
      <formula1>Format</formula1>
    </dataValidation>
    <dataValidation type="list" allowBlank="1" showInputMessage="1" showErrorMessage="1" sqref="D12:E21" xr:uid="{720574CE-9127-4C95-AA73-7BAB937C3978}">
      <formula1>DRangeAreas</formula1>
    </dataValidation>
  </dataValidations>
  <hyperlinks>
    <hyperlink ref="B10" location="'O1'!A1" display="'O1'!A1" xr:uid="{96CDC3B6-20A2-4718-B0AB-2C8B40168211}"/>
    <hyperlink ref="C10" location="'O2'!A1" display="'O2'!A1" xr:uid="{796B137B-C1C1-4459-848A-9E04F1F40AB4}"/>
    <hyperlink ref="D10" location="'O3'!A1" display="'O3'!A1" xr:uid="{27C81437-9CEF-4EFB-9E0C-F16A5A9EBFA7}"/>
    <hyperlink ref="E10" location="'O4'!A1" display="'O4'!A1" xr:uid="{46000F66-9F88-4FDC-A353-629C6B05724C}"/>
    <hyperlink ref="F10" location="'O5'!A1" display="'O5'!A1" xr:uid="{BE406033-9EB0-4BA1-82F4-14E098493EAE}"/>
    <hyperlink ref="G10" location="'O6'!A1" display="'O6'!A1" xr:uid="{53F8383A-AA3E-4A7B-AC9C-E6C70D76BC1E}"/>
  </hyperlinks>
  <pageMargins left="0.25" right="0.25" top="0.75" bottom="0.75" header="0.3" footer="0.3"/>
  <pageSetup scale="58"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6FD21-9DE3-455A-8866-304D78CBC92D}">
  <dimension ref="A1:S87"/>
  <sheetViews>
    <sheetView showGridLines="0" showRowColHeaders="0" zoomScaleNormal="100" workbookViewId="0">
      <selection activeCell="H12" sqref="H12"/>
    </sheetView>
  </sheetViews>
  <sheetFormatPr baseColWidth="10" defaultColWidth="11.5" defaultRowHeight="15"/>
  <cols>
    <col min="1" max="1" width="2.6640625" style="290" customWidth="1"/>
    <col min="2" max="5" width="32.6640625" style="290" customWidth="1"/>
    <col min="6" max="7" width="20.6640625" style="290" customWidth="1"/>
    <col min="8" max="8" width="20.6640625" style="295" customWidth="1"/>
    <col min="9" max="16384" width="11.5" style="290"/>
  </cols>
  <sheetData>
    <row r="1" spans="1:19" s="268" customFormat="1" ht="39" customHeight="1">
      <c r="A1" s="266"/>
      <c r="B1" s="266"/>
      <c r="C1" s="266"/>
      <c r="D1" s="266"/>
      <c r="E1" s="266"/>
      <c r="F1" s="266"/>
      <c r="G1" s="266"/>
      <c r="H1" s="329"/>
      <c r="I1" s="266"/>
      <c r="J1" s="266"/>
      <c r="K1" s="266"/>
      <c r="L1" s="266"/>
      <c r="M1" s="266"/>
      <c r="N1" s="266"/>
      <c r="O1" s="266"/>
      <c r="P1" s="266"/>
      <c r="Q1" s="266"/>
      <c r="R1" s="266"/>
      <c r="S1" s="266"/>
    </row>
    <row r="2" spans="1:19" s="312" customFormat="1" ht="24.75" customHeight="1">
      <c r="H2" s="330"/>
    </row>
    <row r="3" spans="1:19" s="331" customFormat="1" ht="18" customHeight="1">
      <c r="H3" s="332"/>
    </row>
    <row r="4" spans="1:19" s="331" customFormat="1" ht="18" customHeight="1">
      <c r="H4" s="332"/>
    </row>
    <row r="5" spans="1:19" s="287" customFormat="1" ht="20" customHeight="1">
      <c r="H5" s="324"/>
    </row>
    <row r="6" spans="1:19" ht="20" customHeight="1">
      <c r="A6" s="288"/>
      <c r="B6" s="288"/>
      <c r="C6" s="288"/>
      <c r="D6" s="288"/>
      <c r="E6" s="288"/>
      <c r="F6" s="288"/>
      <c r="G6" s="288"/>
    </row>
    <row r="7" spans="1:19" ht="20" customHeight="1">
      <c r="A7" s="288"/>
      <c r="B7" s="303" t="str">
        <f>Lan!F43&amp;" - "&amp; Goals!C14</f>
        <v>2.3. Objetivos - Fortalecer el posicionamiento de la marca Caracolitos a nivel nacional.</v>
      </c>
      <c r="C7" s="303"/>
      <c r="D7" s="303"/>
      <c r="E7" s="303"/>
      <c r="F7" s="92"/>
      <c r="G7" s="92"/>
      <c r="H7" s="333"/>
    </row>
    <row r="8" spans="1:19" ht="20" customHeight="1">
      <c r="A8" s="288"/>
      <c r="B8" s="334" t="str">
        <f>Lan!F44</f>
        <v>Los objetivos proporcionan hitos específicos con un cronograma específico para lograr una meta.</v>
      </c>
      <c r="C8" s="92"/>
      <c r="D8" s="92"/>
      <c r="E8" s="92"/>
      <c r="F8" s="92"/>
      <c r="G8" s="92"/>
      <c r="H8" s="333"/>
    </row>
    <row r="9" spans="1:19" ht="20" customHeight="1" thickBot="1">
      <c r="A9" s="288"/>
      <c r="B9" s="92"/>
      <c r="C9" s="92"/>
      <c r="D9" s="92"/>
      <c r="E9" s="92"/>
      <c r="F9" s="92"/>
      <c r="G9" s="92"/>
      <c r="H9" s="333"/>
    </row>
    <row r="10" spans="1:19" s="338" customFormat="1" ht="20" customHeight="1" thickTop="1" thickBot="1">
      <c r="B10" s="419" t="str">
        <f>IF(Goals!$C$12="","",Goals!$B$12)</f>
        <v>Meta 1</v>
      </c>
      <c r="C10" s="419" t="str">
        <f>IF(Goals!$C$13="","",Goals!$B$13)</f>
        <v>Meta 2</v>
      </c>
      <c r="D10" s="420" t="str">
        <f>IF(Goals!$C$14="","",Goals!$B$14)</f>
        <v>Meta 3</v>
      </c>
      <c r="E10" s="419" t="str">
        <f>IF(Goals!$C$15="","",Goals!$B$15)</f>
        <v>Meta 4</v>
      </c>
      <c r="F10" s="419" t="str">
        <f>IF(Goals!$C$16="","",Goals!$B$16)</f>
        <v>Meta 5</v>
      </c>
      <c r="G10" s="419" t="str">
        <f>IF(Goals!$C$17="","",Goals!$B$17)</f>
        <v>Meta 6</v>
      </c>
      <c r="H10" s="335"/>
    </row>
    <row r="11" spans="1:19" ht="30" customHeight="1" thickTop="1" thickBot="1">
      <c r="A11" s="288"/>
      <c r="B11" s="494" t="str">
        <f>Lan!F45</f>
        <v>Objetivos</v>
      </c>
      <c r="C11" s="494"/>
      <c r="D11" s="494" t="str">
        <f>SA!C10</f>
        <v>Áreas estratégicas</v>
      </c>
      <c r="E11" s="495"/>
      <c r="F11" s="344" t="str">
        <f>Lan!F47</f>
        <v>Formato</v>
      </c>
      <c r="G11" s="344" t="str">
        <f>Lan!F48</f>
        <v>Mejor dirección</v>
      </c>
      <c r="H11" s="345" t="str">
        <f>Lan!F59</f>
        <v>Expresiones</v>
      </c>
    </row>
    <row r="12" spans="1:19" ht="30" customHeight="1">
      <c r="A12" s="288"/>
      <c r="B12" s="489" t="s">
        <v>342</v>
      </c>
      <c r="C12" s="490"/>
      <c r="D12" s="483" t="s">
        <v>332</v>
      </c>
      <c r="E12" s="484"/>
      <c r="F12" s="90" t="s">
        <v>63</v>
      </c>
      <c r="G12" s="90" t="s">
        <v>71</v>
      </c>
      <c r="H12" s="213" t="s">
        <v>173</v>
      </c>
    </row>
    <row r="13" spans="1:19" ht="30" customHeight="1">
      <c r="A13" s="288"/>
      <c r="B13" s="489" t="s">
        <v>343</v>
      </c>
      <c r="C13" s="490"/>
      <c r="D13" s="483" t="s">
        <v>332</v>
      </c>
      <c r="E13" s="484"/>
      <c r="F13" s="90" t="s">
        <v>63</v>
      </c>
      <c r="G13" s="90" t="s">
        <v>71</v>
      </c>
      <c r="H13" s="213" t="s">
        <v>220</v>
      </c>
    </row>
    <row r="14" spans="1:19" ht="30" customHeight="1">
      <c r="A14" s="288"/>
      <c r="B14" s="489"/>
      <c r="C14" s="490"/>
      <c r="D14" s="483"/>
      <c r="E14" s="484"/>
      <c r="F14" s="90"/>
      <c r="G14" s="90"/>
      <c r="H14" s="213"/>
    </row>
    <row r="15" spans="1:19" ht="30" customHeight="1">
      <c r="A15" s="288"/>
      <c r="B15" s="489"/>
      <c r="C15" s="490"/>
      <c r="D15" s="483"/>
      <c r="E15" s="484"/>
      <c r="F15" s="90"/>
      <c r="G15" s="90"/>
      <c r="H15" s="213"/>
    </row>
    <row r="16" spans="1:19" ht="30" customHeight="1">
      <c r="A16" s="288"/>
      <c r="B16" s="489"/>
      <c r="C16" s="490"/>
      <c r="D16" s="483"/>
      <c r="E16" s="484"/>
      <c r="F16" s="90"/>
      <c r="G16" s="90"/>
      <c r="H16" s="213"/>
    </row>
    <row r="17" spans="1:9" ht="30" customHeight="1">
      <c r="A17" s="288"/>
      <c r="B17" s="489"/>
      <c r="C17" s="490"/>
      <c r="D17" s="483"/>
      <c r="E17" s="484"/>
      <c r="F17" s="464"/>
      <c r="G17" s="90"/>
      <c r="H17" s="213"/>
    </row>
    <row r="18" spans="1:9" ht="30" customHeight="1">
      <c r="A18" s="288"/>
      <c r="B18" s="489"/>
      <c r="C18" s="490"/>
      <c r="D18" s="483"/>
      <c r="E18" s="484"/>
      <c r="F18" s="90"/>
      <c r="G18" s="90"/>
      <c r="H18" s="213"/>
    </row>
    <row r="19" spans="1:9" ht="30" customHeight="1">
      <c r="A19" s="288"/>
      <c r="B19" s="489"/>
      <c r="C19" s="490"/>
      <c r="D19" s="483"/>
      <c r="E19" s="484"/>
      <c r="F19" s="91"/>
      <c r="G19" s="90"/>
      <c r="H19" s="213"/>
    </row>
    <row r="20" spans="1:9" ht="30" customHeight="1">
      <c r="A20" s="288"/>
      <c r="B20" s="489"/>
      <c r="C20" s="490"/>
      <c r="D20" s="491"/>
      <c r="E20" s="492"/>
      <c r="F20" s="339"/>
      <c r="G20" s="339"/>
      <c r="H20" s="340"/>
    </row>
    <row r="21" spans="1:9" ht="30" customHeight="1">
      <c r="A21" s="288"/>
      <c r="B21" s="489"/>
      <c r="C21" s="490"/>
      <c r="D21" s="491"/>
      <c r="E21" s="492"/>
      <c r="F21" s="339"/>
      <c r="G21" s="341"/>
      <c r="H21" s="340"/>
      <c r="I21" s="316"/>
    </row>
    <row r="22" spans="1:9" ht="20" customHeight="1">
      <c r="A22" s="288"/>
      <c r="B22" s="326"/>
      <c r="C22" s="326"/>
      <c r="D22" s="326"/>
      <c r="E22" s="326"/>
      <c r="F22" s="326"/>
      <c r="G22" s="326"/>
      <c r="H22" s="327"/>
      <c r="I22" s="316"/>
    </row>
    <row r="23" spans="1:9" ht="20" customHeight="1">
      <c r="A23" s="288"/>
      <c r="B23" s="311"/>
      <c r="C23" s="311"/>
      <c r="D23" s="311"/>
      <c r="E23" s="311"/>
      <c r="F23" s="311"/>
      <c r="G23" s="311"/>
      <c r="H23" s="327"/>
      <c r="I23" s="316"/>
    </row>
    <row r="24" spans="1:9" ht="20" customHeight="1">
      <c r="A24" s="288"/>
      <c r="B24" s="299"/>
      <c r="C24" s="288"/>
      <c r="D24" s="288"/>
      <c r="E24" s="288"/>
      <c r="F24" s="288"/>
      <c r="G24" s="288"/>
      <c r="H24" s="327"/>
      <c r="I24" s="316"/>
    </row>
    <row r="25" spans="1:9" ht="20" customHeight="1">
      <c r="A25" s="288"/>
      <c r="B25" s="299"/>
      <c r="C25" s="288"/>
      <c r="D25" s="288"/>
      <c r="E25" s="288"/>
      <c r="F25" s="288"/>
      <c r="G25" s="288"/>
      <c r="H25" s="327"/>
      <c r="I25" s="316"/>
    </row>
    <row r="26" spans="1:9" ht="20" customHeight="1">
      <c r="A26" s="288"/>
      <c r="B26" s="299"/>
      <c r="C26" s="288"/>
      <c r="D26" s="288"/>
      <c r="E26" s="288"/>
      <c r="F26" s="288"/>
      <c r="G26" s="288"/>
    </row>
    <row r="27" spans="1:9" ht="20" customHeight="1">
      <c r="A27" s="288"/>
      <c r="B27" s="299"/>
      <c r="C27" s="288"/>
      <c r="D27" s="288"/>
      <c r="E27" s="288"/>
      <c r="F27" s="288"/>
      <c r="G27" s="288"/>
      <c r="H27" s="328"/>
      <c r="I27" s="310"/>
    </row>
    <row r="28" spans="1:9" ht="20" customHeight="1">
      <c r="A28" s="288"/>
      <c r="B28" s="299"/>
      <c r="C28" s="288"/>
      <c r="D28" s="288"/>
      <c r="E28" s="288"/>
      <c r="F28" s="288"/>
      <c r="G28" s="288"/>
    </row>
    <row r="29" spans="1:9" ht="20" customHeight="1">
      <c r="A29" s="288"/>
      <c r="B29" s="299"/>
      <c r="C29" s="288"/>
      <c r="D29" s="288"/>
      <c r="E29" s="288"/>
      <c r="F29" s="288"/>
      <c r="G29" s="288"/>
    </row>
    <row r="30" spans="1:9" ht="20" customHeight="1">
      <c r="A30" s="288"/>
      <c r="B30" s="299"/>
      <c r="C30" s="288"/>
      <c r="D30" s="288"/>
      <c r="E30" s="288"/>
      <c r="F30" s="288"/>
      <c r="G30" s="288"/>
    </row>
    <row r="31" spans="1:9" ht="20" customHeight="1">
      <c r="A31" s="288"/>
      <c r="B31" s="299"/>
      <c r="C31" s="288"/>
      <c r="D31" s="288"/>
      <c r="E31" s="288"/>
      <c r="F31" s="288"/>
      <c r="G31" s="288"/>
    </row>
    <row r="32" spans="1:9" ht="20" customHeight="1">
      <c r="A32" s="288"/>
      <c r="B32" s="299"/>
      <c r="C32" s="288"/>
      <c r="D32" s="288"/>
      <c r="E32" s="288"/>
      <c r="F32" s="288"/>
      <c r="G32" s="288"/>
    </row>
    <row r="33" spans="1:7" ht="20" customHeight="1">
      <c r="A33" s="288"/>
      <c r="B33" s="299"/>
      <c r="C33" s="288"/>
      <c r="D33" s="288"/>
      <c r="E33" s="288"/>
      <c r="F33" s="288"/>
      <c r="G33" s="288"/>
    </row>
    <row r="34" spans="1:7" ht="20" customHeight="1">
      <c r="A34" s="288"/>
      <c r="B34" s="299"/>
      <c r="C34" s="288"/>
      <c r="D34" s="288"/>
      <c r="E34" s="288"/>
      <c r="F34" s="288"/>
      <c r="G34" s="288"/>
    </row>
    <row r="35" spans="1:7" ht="20" customHeight="1">
      <c r="A35" s="288"/>
      <c r="B35" s="299"/>
      <c r="C35" s="288"/>
      <c r="D35" s="288"/>
      <c r="E35" s="288"/>
      <c r="F35" s="288"/>
      <c r="G35" s="288"/>
    </row>
    <row r="36" spans="1:7" ht="20" customHeight="1">
      <c r="A36" s="288"/>
      <c r="B36" s="299"/>
      <c r="C36" s="288"/>
      <c r="D36" s="288"/>
      <c r="E36" s="288"/>
      <c r="F36" s="288"/>
      <c r="G36" s="288"/>
    </row>
    <row r="37" spans="1:7" ht="20" customHeight="1">
      <c r="A37" s="288"/>
      <c r="B37" s="299"/>
      <c r="C37" s="288"/>
      <c r="D37" s="288"/>
      <c r="E37" s="288"/>
      <c r="F37" s="288"/>
      <c r="G37" s="288"/>
    </row>
    <row r="38" spans="1:7" ht="20" customHeight="1">
      <c r="A38" s="288"/>
      <c r="B38" s="299"/>
      <c r="C38" s="288"/>
      <c r="D38" s="288"/>
      <c r="E38" s="288"/>
      <c r="F38" s="288"/>
      <c r="G38" s="288"/>
    </row>
    <row r="39" spans="1:7" ht="20" customHeight="1">
      <c r="A39" s="288"/>
      <c r="B39" s="299"/>
      <c r="C39" s="288"/>
      <c r="D39" s="288"/>
      <c r="E39" s="288"/>
      <c r="F39" s="288"/>
      <c r="G39" s="288"/>
    </row>
    <row r="40" spans="1:7" ht="20" customHeight="1">
      <c r="A40" s="288"/>
      <c r="B40" s="299"/>
      <c r="C40" s="288"/>
      <c r="D40" s="288"/>
      <c r="E40" s="288"/>
      <c r="F40" s="288"/>
      <c r="G40" s="288"/>
    </row>
    <row r="41" spans="1:7" ht="20" customHeight="1">
      <c r="A41" s="288"/>
      <c r="B41" s="299"/>
      <c r="C41" s="288"/>
      <c r="D41" s="288"/>
      <c r="E41" s="288"/>
      <c r="F41" s="288"/>
      <c r="G41" s="288"/>
    </row>
    <row r="42" spans="1:7" ht="20" customHeight="1">
      <c r="A42" s="288"/>
      <c r="B42" s="299"/>
      <c r="C42" s="288"/>
      <c r="D42" s="288"/>
      <c r="E42" s="288"/>
      <c r="F42" s="288"/>
      <c r="G42" s="288"/>
    </row>
    <row r="43" spans="1:7" ht="20" customHeight="1">
      <c r="A43" s="288"/>
      <c r="B43" s="299"/>
      <c r="C43" s="288"/>
      <c r="D43" s="288"/>
      <c r="E43" s="288"/>
      <c r="F43" s="288"/>
      <c r="G43" s="288"/>
    </row>
    <row r="44" spans="1:7" ht="20" customHeight="1">
      <c r="A44" s="288"/>
      <c r="B44" s="299"/>
      <c r="C44" s="288"/>
      <c r="D44" s="288"/>
      <c r="E44" s="288"/>
      <c r="F44" s="288"/>
      <c r="G44" s="288"/>
    </row>
    <row r="45" spans="1:7" ht="20" customHeight="1">
      <c r="A45" s="288"/>
      <c r="B45" s="299"/>
      <c r="C45" s="288"/>
      <c r="D45" s="288"/>
      <c r="E45" s="288"/>
      <c r="F45" s="288"/>
      <c r="G45" s="288"/>
    </row>
    <row r="46" spans="1:7" ht="20" customHeight="1">
      <c r="A46" s="288"/>
      <c r="B46" s="299"/>
      <c r="C46" s="288"/>
      <c r="D46" s="288"/>
      <c r="E46" s="288"/>
      <c r="F46" s="288"/>
      <c r="G46" s="288"/>
    </row>
    <row r="47" spans="1:7" ht="20" customHeight="1">
      <c r="A47" s="288"/>
      <c r="B47" s="299"/>
      <c r="C47" s="288"/>
      <c r="D47" s="288"/>
      <c r="E47" s="288"/>
      <c r="F47" s="288"/>
      <c r="G47" s="288"/>
    </row>
    <row r="48" spans="1:7" ht="20" customHeight="1">
      <c r="A48" s="288"/>
      <c r="B48" s="299"/>
      <c r="C48" s="288"/>
      <c r="D48" s="288"/>
      <c r="E48" s="288"/>
      <c r="F48" s="288"/>
      <c r="G48" s="288"/>
    </row>
    <row r="49" spans="1:7" ht="20" customHeight="1">
      <c r="A49" s="288"/>
      <c r="B49" s="299"/>
      <c r="C49" s="288"/>
      <c r="D49" s="288"/>
      <c r="E49" s="288"/>
      <c r="F49" s="288"/>
      <c r="G49" s="288"/>
    </row>
    <row r="50" spans="1:7" ht="20" customHeight="1">
      <c r="A50" s="288"/>
      <c r="B50" s="299"/>
      <c r="C50" s="288"/>
      <c r="D50" s="288"/>
      <c r="E50" s="288"/>
      <c r="F50" s="288"/>
      <c r="G50" s="288"/>
    </row>
    <row r="51" spans="1:7" ht="20" customHeight="1">
      <c r="A51" s="288"/>
      <c r="B51" s="299"/>
      <c r="C51" s="288"/>
      <c r="D51" s="288"/>
      <c r="E51" s="288"/>
      <c r="F51" s="288"/>
      <c r="G51" s="288"/>
    </row>
    <row r="52" spans="1:7" ht="20" customHeight="1">
      <c r="A52" s="288"/>
      <c r="B52" s="299"/>
      <c r="C52" s="288"/>
      <c r="D52" s="288"/>
      <c r="E52" s="288"/>
      <c r="F52" s="288"/>
      <c r="G52" s="288"/>
    </row>
    <row r="53" spans="1:7" ht="20" customHeight="1">
      <c r="A53" s="288"/>
      <c r="B53" s="299"/>
      <c r="C53" s="288"/>
      <c r="D53" s="288"/>
      <c r="E53" s="288"/>
      <c r="F53" s="288"/>
      <c r="G53" s="288"/>
    </row>
    <row r="54" spans="1:7" ht="20" customHeight="1">
      <c r="A54" s="288"/>
      <c r="B54" s="300"/>
      <c r="C54" s="288"/>
      <c r="D54" s="288"/>
      <c r="E54" s="288"/>
      <c r="F54" s="288"/>
      <c r="G54" s="288"/>
    </row>
    <row r="55" spans="1:7" ht="20" customHeight="1"/>
    <row r="56" spans="1:7" ht="20" customHeight="1"/>
    <row r="57" spans="1:7" ht="20" customHeight="1"/>
    <row r="58" spans="1:7" ht="20" customHeight="1"/>
    <row r="59" spans="1:7" ht="20" customHeight="1"/>
    <row r="60" spans="1:7" ht="20" customHeight="1"/>
    <row r="61" spans="1:7" ht="20" customHeight="1"/>
    <row r="62" spans="1:7" ht="20" customHeight="1"/>
    <row r="63" spans="1:7" ht="20" customHeight="1"/>
    <row r="64" spans="1:7"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sheetData>
  <sheetProtection formatCells="0" formatColumns="0" formatRows="0" selectLockedCells="1" sort="0" autoFilter="0" pivotTables="0"/>
  <mergeCells count="22">
    <mergeCell ref="B14:C14"/>
    <mergeCell ref="D14:E14"/>
    <mergeCell ref="B15:C15"/>
    <mergeCell ref="D15:E15"/>
    <mergeCell ref="B11:C11"/>
    <mergeCell ref="D11:E11"/>
    <mergeCell ref="B12:C12"/>
    <mergeCell ref="D12:E12"/>
    <mergeCell ref="B13:C13"/>
    <mergeCell ref="D13:E13"/>
    <mergeCell ref="B21:C21"/>
    <mergeCell ref="D21:E21"/>
    <mergeCell ref="B16:C16"/>
    <mergeCell ref="D16:E16"/>
    <mergeCell ref="B17:C17"/>
    <mergeCell ref="D17:E17"/>
    <mergeCell ref="B18:C18"/>
    <mergeCell ref="D18:E18"/>
    <mergeCell ref="B19:C19"/>
    <mergeCell ref="D19:E19"/>
    <mergeCell ref="B20:C20"/>
    <mergeCell ref="D20:E20"/>
  </mergeCells>
  <phoneticPr fontId="31" type="noConversion"/>
  <conditionalFormatting sqref="B10:G10">
    <cfRule type="expression" dxfId="1122" priority="1">
      <formula>B$10=""</formula>
    </cfRule>
  </conditionalFormatting>
  <dataValidations count="4">
    <dataValidation type="list" allowBlank="1" showInputMessage="1" showErrorMessage="1" sqref="F12:F21" xr:uid="{54818BBB-A850-4E58-AF0C-BD5E3C61AD9A}">
      <formula1>Format</formula1>
    </dataValidation>
    <dataValidation type="list" allowBlank="1" showInputMessage="1" showErrorMessage="1" sqref="G12:G21" xr:uid="{391D21BF-2F82-45C7-BF16-1EB9C34DC9DB}">
      <formula1>Direction</formula1>
    </dataValidation>
    <dataValidation type="list" allowBlank="1" showInputMessage="1" showErrorMessage="1" sqref="H12:H21" xr:uid="{BAC35379-F862-4943-919E-724F7B62F873}">
      <formula1>expression</formula1>
    </dataValidation>
    <dataValidation type="list" allowBlank="1" showInputMessage="1" showErrorMessage="1" sqref="D12:E21" xr:uid="{4ED80BF2-6055-4A6B-9D5F-915D1BB22460}">
      <formula1>DRangeAreas</formula1>
    </dataValidation>
  </dataValidations>
  <hyperlinks>
    <hyperlink ref="B10" location="'O1'!A1" display="'O1'!A1" xr:uid="{FA4E014F-3C72-4DD6-8806-53388810A9C1}"/>
    <hyperlink ref="C10" location="'O2'!A1" display="'O2'!A1" xr:uid="{FF40A408-E33F-4897-8F80-398AA5D8B7B8}"/>
    <hyperlink ref="D10" location="'O3'!A1" display="'O3'!A1" xr:uid="{79C4285F-DD90-4462-86AC-48E32C99AC4A}"/>
    <hyperlink ref="E10" location="'O4'!A1" display="'O4'!A1" xr:uid="{D8CFAC70-4695-467D-B888-B8CD6A003ABD}"/>
    <hyperlink ref="F10" location="'O5'!A1" display="'O5'!A1" xr:uid="{1FA10BD4-A526-4EC9-9CDC-FC981D618C9D}"/>
    <hyperlink ref="G10" location="'O6'!A1" display="'O6'!A1" xr:uid="{D96B2BB5-6E74-4B7E-B5DC-198DDFF2060B}"/>
  </hyperlinks>
  <pageMargins left="0.25" right="0.25" top="0.75" bottom="0.75" header="0.3" footer="0.3"/>
  <pageSetup scale="58"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5E0185F8B9AF42B4321B55A277BED6" ma:contentTypeVersion="8" ma:contentTypeDescription="Crée un document." ma:contentTypeScope="" ma:versionID="e92534431653396e50e544aa72b67144">
  <xsd:schema xmlns:xsd="http://www.w3.org/2001/XMLSchema" xmlns:xs="http://www.w3.org/2001/XMLSchema" xmlns:p="http://schemas.microsoft.com/office/2006/metadata/properties" xmlns:ns3="cbf1abe5-dfd3-4691-ac21-08e1d2768c6a" targetNamespace="http://schemas.microsoft.com/office/2006/metadata/properties" ma:root="true" ma:fieldsID="844c9879913871430290d600ec89c2fe" ns3:_="">
    <xsd:import namespace="cbf1abe5-dfd3-4691-ac21-08e1d2768c6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f1abe5-dfd3-4691-ac21-08e1d2768c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g D A A B Q S w M E F A A C A A g A U J 5 2 U J z Z X W a o A A A A + A A A A B I A H A B D b 2 5 m a W c v U G F j a 2 F n Z S 5 4 b W w g o h g A K K A U A A A A A A A A A A A A A A A A A A A A A A A A A A A A h Y / B C o J A F E V / R W b v v H H S i n i O h N u E I I i 2 o q M O 6 R j O m P 5 b i z 6 p X 0 g o q 1 3 L e z k X z n 3 c 7 h i N T e 1 c Z W d U q 0 P i U U Y c q b M 2 V 7 o M S W 8 L d 0 0 i g f s 0 O 6 e l d C Z Y m 8 1 o V E g q a y 8 b g G E Y 6 L C g b V c C Z 8 y D U 7 I 7 Z J V s U l d p Y 1 O d S f J Z 5 f 9 X R O D x J S M 4 X X E a B M G S + r 6 H M N e Y K P 1 F + G R M G c J P i X F f 2 7 6 T o u j c e I s w R 4 T 3 C / E E U E s D B B Q A A g A I A F C e d l 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Q n n Z Q K I p H u A 4 A A A A R A A A A E w A c A E Z v c m 1 1 b G F z L 1 N l Y 3 R p b 2 4 x L m 0 g o h g A K K A U A A A A A A A A A A A A A A A A A A A A A A A A A A A A K 0 5 N L s n M z 1 M I h t C G 1 g B Q S w E C L Q A U A A I A C A B Q n n Z Q n N l d Z q g A A A D 4 A A A A E g A A A A A A A A A A A A A A A A A A A A A A Q 2 9 u Z m l n L 1 B h Y 2 t h Z 2 U u e G 1 s U E s B A i 0 A F A A C A A g A U J 5 2 U A / K 6 a u k A A A A 6 Q A A A B M A A A A A A A A A A A A A A A A A 9 A A A A F t D b 2 5 0 Z W 5 0 X 1 R 5 c G V z X S 5 4 b W x Q S w E C L Q A U A A I A C A B Q n n Z 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i D J a U y I g O U m h v S m L s S F 4 C w A A A A A C A A A A A A A Q Z g A A A A E A A C A A A A D A f L q f 8 A Y 8 Z 7 Y k V 8 F k 8 x h 6 8 d t F / i l P Q q 8 O P c 3 2 z P 3 N B Q A A A A A O g A A A A A I A A C A A A A C D k k G D S s I d 5 K z 3 R t x J M P L t E 1 / y u J g N F M p 5 V Z s f W O H i 6 V A A A A C J r F i e Z r R u / / 4 6 e p G v O r / S R h c 2 F O y 9 v a H e 5 H G p D T G y i e / F Z E Y d y 4 R 7 3 w S I S o 8 u g C P 5 G / Z Y I l l k h 7 q 1 R i r E 9 + K K 3 L e X K V 5 F / W A s i O r a Y W H 5 Y 0 A A A A B c S m 9 T m q / U o 5 F R j F X l m S Q a a 6 6 b j 9 5 1 i e W O 2 K 7 4 x A / Y T j 2 l h T O 2 i f p t c 7 2 r B C Y e I g j b 7 w r k j 5 L 3 x x b W p X G i i h v Q < / 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63FBC0-94C3-4BF0-B929-12AA5D6471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f1abe5-dfd3-4691-ac21-08e1d2768c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E8C1E0-81C3-4321-B70A-657ACF9D5DEC}">
  <ds:schemaRefs>
    <ds:schemaRef ds:uri="http://schemas.microsoft.com/DataMashup"/>
  </ds:schemaRefs>
</ds:datastoreItem>
</file>

<file path=customXml/itemProps3.xml><?xml version="1.0" encoding="utf-8"?>
<ds:datastoreItem xmlns:ds="http://schemas.openxmlformats.org/officeDocument/2006/customXml" ds:itemID="{B3C52713-F7C8-4D80-A9D5-625078226DCF}">
  <ds:schemaRefs>
    <ds:schemaRef ds:uri="http://purl.org/dc/dcmitype/"/>
    <ds:schemaRef ds:uri="http://schemas.openxmlformats.org/package/2006/metadata/core-properties"/>
    <ds:schemaRef ds:uri="cbf1abe5-dfd3-4691-ac21-08e1d2768c6a"/>
    <ds:schemaRef ds:uri="http://purl.org/dc/terms/"/>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AF5615DD-9277-44E1-B8FD-930D6FE64D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34</vt:i4>
      </vt:variant>
      <vt:variant>
        <vt:lpstr>Rangos con nombre</vt:lpstr>
      </vt:variant>
      <vt:variant>
        <vt:i4>36</vt:i4>
      </vt:variant>
    </vt:vector>
  </HeadingPairs>
  <TitlesOfParts>
    <vt:vector size="70" baseType="lpstr">
      <vt:lpstr>Lan</vt:lpstr>
      <vt:lpstr>Settings</vt:lpstr>
      <vt:lpstr>SA</vt:lpstr>
      <vt:lpstr>Teams</vt:lpstr>
      <vt:lpstr>Statement</vt:lpstr>
      <vt:lpstr>Goals</vt:lpstr>
      <vt:lpstr>O1</vt:lpstr>
      <vt:lpstr>O2</vt:lpstr>
      <vt:lpstr>O3</vt:lpstr>
      <vt:lpstr>O4</vt:lpstr>
      <vt:lpstr>O5</vt:lpstr>
      <vt:lpstr>O6</vt:lpstr>
      <vt:lpstr>KPI1</vt:lpstr>
      <vt:lpstr>KPI2</vt:lpstr>
      <vt:lpstr>KPI3</vt:lpstr>
      <vt:lpstr>KPI4</vt:lpstr>
      <vt:lpstr>KPI5</vt:lpstr>
      <vt:lpstr>KPI6</vt:lpstr>
      <vt:lpstr>AP1</vt:lpstr>
      <vt:lpstr>AP2</vt:lpstr>
      <vt:lpstr>AP3</vt:lpstr>
      <vt:lpstr>AP4</vt:lpstr>
      <vt:lpstr>AP5</vt:lpstr>
      <vt:lpstr>AP6</vt:lpstr>
      <vt:lpstr>SGoal</vt:lpstr>
      <vt:lpstr>AGoal</vt:lpstr>
      <vt:lpstr>SDashboard</vt:lpstr>
      <vt:lpstr>APDashboard</vt:lpstr>
      <vt:lpstr>SP</vt:lpstr>
      <vt:lpstr>AuxP</vt:lpstr>
      <vt:lpstr>AuxDash</vt:lpstr>
      <vt:lpstr>AuxR</vt:lpstr>
      <vt:lpstr>AuxPlan</vt:lpstr>
      <vt:lpstr>Data</vt:lpstr>
      <vt:lpstr>AGoal!Área_de_impresión</vt:lpstr>
      <vt:lpstr>'AP1'!Área_de_impresión</vt:lpstr>
      <vt:lpstr>'AP2'!Área_de_impresión</vt:lpstr>
      <vt:lpstr>'AP3'!Área_de_impresión</vt:lpstr>
      <vt:lpstr>'AP4'!Área_de_impresión</vt:lpstr>
      <vt:lpstr>'AP5'!Área_de_impresión</vt:lpstr>
      <vt:lpstr>'AP6'!Área_de_impresión</vt:lpstr>
      <vt:lpstr>APDashboard!Área_de_impresión</vt:lpstr>
      <vt:lpstr>Goals!Área_de_impresión</vt:lpstr>
      <vt:lpstr>'KPI1'!Área_de_impresión</vt:lpstr>
      <vt:lpstr>'KPI2'!Área_de_impresión</vt:lpstr>
      <vt:lpstr>'KPI3'!Área_de_impresión</vt:lpstr>
      <vt:lpstr>'KPI4'!Área_de_impresión</vt:lpstr>
      <vt:lpstr>'KPI5'!Área_de_impresión</vt:lpstr>
      <vt:lpstr>'KPI6'!Área_de_impresión</vt:lpstr>
      <vt:lpstr>Lan!Área_de_impresión</vt:lpstr>
      <vt:lpstr>'O1'!Área_de_impresión</vt:lpstr>
      <vt:lpstr>'O2'!Área_de_impresión</vt:lpstr>
      <vt:lpstr>'O3'!Área_de_impresión</vt:lpstr>
      <vt:lpstr>'O4'!Área_de_impresión</vt:lpstr>
      <vt:lpstr>'O5'!Área_de_impresión</vt:lpstr>
      <vt:lpstr>'O6'!Área_de_impresión</vt:lpstr>
      <vt:lpstr>SA!Área_de_impresión</vt:lpstr>
      <vt:lpstr>SDashboard!Área_de_impresión</vt:lpstr>
      <vt:lpstr>Settings!Área_de_impresión</vt:lpstr>
      <vt:lpstr>SGoal!Área_de_impresión</vt:lpstr>
      <vt:lpstr>SP!Área_de_impresión</vt:lpstr>
      <vt:lpstr>Statement!Área_de_impresión</vt:lpstr>
      <vt:lpstr>Teams!Área_de_impresión</vt:lpstr>
      <vt:lpstr>Direction</vt:lpstr>
      <vt:lpstr>expression</vt:lpstr>
      <vt:lpstr>Format</vt:lpstr>
      <vt:lpstr>language</vt:lpstr>
      <vt:lpstr>month</vt:lpstr>
      <vt:lpstr>month2</vt:lpstr>
      <vt:lpstr>selected</vt:lpstr>
    </vt:vector>
  </TitlesOfParts>
  <Manager/>
  <Company>Solís Enterprises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Estrategico</dc:title>
  <dc:creator>Jovani Solís</dc:creator>
  <cp:lastModifiedBy>Adrián Pérez Aguilar</cp:lastModifiedBy>
  <cp:lastPrinted>2021-03-15T23:12:20Z</cp:lastPrinted>
  <dcterms:created xsi:type="dcterms:W3CDTF">2021-03-05T05:01:39Z</dcterms:created>
  <dcterms:modified xsi:type="dcterms:W3CDTF">2025-07-12T20:20:31Z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0x010100545E0185F8B9AF42B4321B55A277BED6</vt:lpwstr>
  </property>
</Properties>
</file>