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<sst xmlns="http://schemas.openxmlformats.org/spreadsheetml/2006/main" count="76" uniqueCount="63">
  <si>
    <t>Punto de Equilibrio</t>
  </si>
  <si>
    <t>WACC</t>
  </si>
  <si>
    <t>Valor de mercado de la deuda (D):</t>
  </si>
  <si>
    <t>Capital Total</t>
  </si>
  <si>
    <t xml:space="preserve">Centro Evaluador </t>
  </si>
  <si>
    <t>C.F mensuales</t>
  </si>
  <si>
    <t>Tasa de interés de la deuda (Kd):</t>
  </si>
  <si>
    <t>Tasa</t>
  </si>
  <si>
    <t>% Participación</t>
  </si>
  <si>
    <t>C.V. Estandar Comp</t>
  </si>
  <si>
    <t>Valor de mercado del capital propio (E):</t>
  </si>
  <si>
    <t>Deuda Banco 1</t>
  </si>
  <si>
    <t>Beta (β):</t>
  </si>
  <si>
    <t>Deuda Banco 2</t>
  </si>
  <si>
    <t>Tasa libre de riesgo (Rf):</t>
  </si>
  <si>
    <t>Deuda Familiar</t>
  </si>
  <si>
    <t>Utilidad Unitaria</t>
  </si>
  <si>
    <t>Ventas Historicas</t>
  </si>
  <si>
    <t xml:space="preserve">Rendimiento esperado del mercado (Rm): </t>
  </si>
  <si>
    <t xml:space="preserve">Capital Propio </t>
  </si>
  <si>
    <t>Precio EC 1</t>
  </si>
  <si>
    <t>Tasa impositiva (T):</t>
  </si>
  <si>
    <t>C.V. EC 1</t>
  </si>
  <si>
    <t>Precio EC 2</t>
  </si>
  <si>
    <t>C.V. EC 2</t>
  </si>
  <si>
    <t>Primero calcularemos el costo de capital (Ke)</t>
  </si>
  <si>
    <t>Precio EC 3</t>
  </si>
  <si>
    <t>Ke=Rf+ β*(RM-RF)</t>
  </si>
  <si>
    <t>ke</t>
  </si>
  <si>
    <t>C.V. EC 3</t>
  </si>
  <si>
    <t>Costo de Deuda después de Tasa Impositiva</t>
  </si>
  <si>
    <t>Por Valor Monetario</t>
  </si>
  <si>
    <t>Kd (1 - T) = 6% (1 - 0.25)</t>
  </si>
  <si>
    <t>kd</t>
  </si>
  <si>
    <t>C.V. mensuales</t>
  </si>
  <si>
    <t>Calculo de la Estructura de Capital</t>
  </si>
  <si>
    <t>Ventas mensuales</t>
  </si>
  <si>
    <t>E/V</t>
  </si>
  <si>
    <t>D/V</t>
  </si>
  <si>
    <t>WACC = (E/V) Ke + (D/V) Kd</t>
  </si>
  <si>
    <t>WACC =</t>
  </si>
  <si>
    <t>Concepto</t>
  </si>
  <si>
    <t>Año 0</t>
  </si>
  <si>
    <t>Año 1</t>
  </si>
  <si>
    <t>Año 2</t>
  </si>
  <si>
    <t>Año 3</t>
  </si>
  <si>
    <t>Inversión Inicial</t>
  </si>
  <si>
    <t xml:space="preserve">Ventas </t>
  </si>
  <si>
    <t xml:space="preserve">Costos </t>
  </si>
  <si>
    <t>Utilidad Bruta</t>
  </si>
  <si>
    <t>Año 4</t>
  </si>
  <si>
    <t>Año 5</t>
  </si>
  <si>
    <t>Gastos Administrativos</t>
  </si>
  <si>
    <t>Gastos Venta</t>
  </si>
  <si>
    <t>Utilidad Operativa</t>
  </si>
  <si>
    <t>VAN</t>
  </si>
  <si>
    <t>Gastos Financieros</t>
  </si>
  <si>
    <t>TIR</t>
  </si>
  <si>
    <t xml:space="preserve">Utilidad antes de Impuestos </t>
  </si>
  <si>
    <t>PRI</t>
  </si>
  <si>
    <t xml:space="preserve">Impuestos </t>
  </si>
  <si>
    <t>Flujo de Caja</t>
  </si>
  <si>
    <t>Flujo de Efectivo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</si>
</sst>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%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Inherit !important"/>
    </font>
    <font>
      <color rgb="FF000000"/>
      <name val="Arial"/>
      <scheme val="minor"/>
    </font>
    <font>
      <sz val="13.0"/>
      <color rgb="FF000000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4A86E8"/>
        <bgColor rgb="FF4A86E8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 vertical="bottom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horizontal="right" readingOrder="0"/>
    </xf>
    <xf borderId="0" fillId="0" fontId="1" numFmtId="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10" xfId="0" applyFont="1" applyNumberFormat="1"/>
    <xf borderId="0" fillId="3" fontId="3" numFmtId="0" xfId="0" applyAlignment="1" applyFill="1" applyFont="1">
      <alignment readingOrder="0"/>
    </xf>
    <xf borderId="0" fillId="3" fontId="3" numFmtId="2" xfId="0" applyFont="1" applyNumberFormat="1"/>
    <xf borderId="0" fillId="0" fontId="1" numFmtId="165" xfId="0" applyAlignment="1" applyFont="1" applyNumberFormat="1">
      <alignment readingOrder="0"/>
    </xf>
    <xf borderId="0" fillId="0" fontId="1" numFmtId="164" xfId="0" applyFont="1" applyNumberFormat="1"/>
    <xf borderId="0" fillId="0" fontId="1" numFmtId="10" xfId="0" applyAlignment="1" applyFont="1" applyNumberFormat="1">
      <alignment horizontal="center"/>
    </xf>
    <xf borderId="0" fillId="2" fontId="2" numFmtId="0" xfId="0" applyAlignment="1" applyFont="1">
      <alignment vertical="bottom"/>
    </xf>
    <xf borderId="0" fillId="2" fontId="4" numFmtId="0" xfId="0" applyAlignment="1" applyFont="1">
      <alignment readingOrder="0" vertical="bottom"/>
    </xf>
    <xf borderId="0" fillId="0" fontId="1" numFmtId="165" xfId="0" applyFont="1" applyNumberFormat="1"/>
    <xf borderId="0" fillId="0" fontId="1" numFmtId="0" xfId="0" applyAlignment="1" applyFont="1">
      <alignment horizontal="center"/>
    </xf>
    <xf borderId="0" fillId="0" fontId="1" numFmtId="9" xfId="0" applyFont="1" applyNumberFormat="1"/>
    <xf borderId="0" fillId="2" fontId="4" numFmtId="0" xfId="0" applyAlignment="1" applyFont="1">
      <alignment readingOrder="0"/>
    </xf>
    <xf borderId="0" fillId="3" fontId="3" numFmtId="164" xfId="0" applyFont="1" applyNumberFormat="1"/>
    <xf borderId="0" fillId="3" fontId="1" numFmtId="0" xfId="0" applyAlignment="1" applyFont="1">
      <alignment readingOrder="0"/>
    </xf>
    <xf borderId="0" fillId="3" fontId="1" numFmtId="0" xfId="0" applyFont="1"/>
    <xf borderId="0" fillId="3" fontId="1" numFmtId="164" xfId="0" applyFont="1" applyNumberFormat="1"/>
    <xf borderId="0" fillId="4" fontId="1" numFmtId="0" xfId="0" applyAlignment="1" applyFill="1" applyFont="1">
      <alignment readingOrder="0"/>
    </xf>
    <xf borderId="0" fillId="4" fontId="1" numFmtId="164" xfId="0" applyAlignment="1" applyFont="1" applyNumberFormat="1">
      <alignment readingOrder="0"/>
    </xf>
    <xf borderId="0" fillId="4" fontId="1" numFmtId="164" xfId="0" applyFont="1" applyNumberFormat="1"/>
    <xf borderId="0" fillId="5" fontId="1" numFmtId="0" xfId="0" applyAlignment="1" applyFill="1" applyFont="1">
      <alignment readingOrder="0"/>
    </xf>
    <xf borderId="0" fillId="5" fontId="1" numFmtId="0" xfId="0" applyFont="1"/>
    <xf borderId="0" fillId="5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7.0"/>
    <col customWidth="1" min="4" max="4" width="15.25"/>
    <col customWidth="1" min="6" max="6" width="12.13"/>
    <col customWidth="1" min="7" max="7" width="11.75"/>
    <col customWidth="1" min="8" max="8" width="8.13"/>
    <col customWidth="1" min="13" max="13" width="15.0"/>
    <col customWidth="1" min="15" max="15" width="10.88"/>
    <col customWidth="1" min="16" max="16" width="13.13"/>
    <col customWidth="1" min="20" max="20" width="10.38"/>
  </cols>
  <sheetData>
    <row r="3">
      <c r="B3" s="1" t="s">
        <v>0</v>
      </c>
      <c r="K3" s="1" t="s">
        <v>1</v>
      </c>
    </row>
    <row r="4">
      <c r="L4" s="2" t="s">
        <v>2</v>
      </c>
      <c r="O4" s="3">
        <v>100000.0</v>
      </c>
      <c r="R4" s="1" t="s">
        <v>3</v>
      </c>
      <c r="S4" s="3">
        <v>500000.0</v>
      </c>
    </row>
    <row r="5">
      <c r="B5" s="4" t="s">
        <v>4</v>
      </c>
      <c r="C5" s="1" t="s">
        <v>5</v>
      </c>
      <c r="D5" s="3">
        <v>25000.0</v>
      </c>
      <c r="L5" s="2" t="s">
        <v>6</v>
      </c>
      <c r="O5" s="5">
        <v>0.17</v>
      </c>
      <c r="T5" s="6" t="s">
        <v>7</v>
      </c>
      <c r="U5" s="6" t="s">
        <v>8</v>
      </c>
    </row>
    <row r="6">
      <c r="C6" s="1" t="s">
        <v>9</v>
      </c>
      <c r="D6" s="3">
        <v>1000.0</v>
      </c>
      <c r="L6" s="2" t="s">
        <v>10</v>
      </c>
      <c r="O6" s="3">
        <v>100000.0</v>
      </c>
      <c r="R6" s="1" t="s">
        <v>11</v>
      </c>
      <c r="S6" s="3">
        <v>100000.0</v>
      </c>
      <c r="T6" s="5">
        <v>0.08</v>
      </c>
      <c r="U6" s="7">
        <f t="shared" ref="U6:U9" si="1">S6/$S$4</f>
        <v>0.2</v>
      </c>
    </row>
    <row r="7">
      <c r="L7" s="2" t="s">
        <v>12</v>
      </c>
      <c r="O7" s="1">
        <v>1.2</v>
      </c>
      <c r="R7" s="1" t="s">
        <v>13</v>
      </c>
      <c r="S7" s="3">
        <v>150000.0</v>
      </c>
      <c r="T7" s="5">
        <v>0.11</v>
      </c>
      <c r="U7" s="7">
        <f t="shared" si="1"/>
        <v>0.3</v>
      </c>
    </row>
    <row r="8">
      <c r="B8" s="4" t="s">
        <v>4</v>
      </c>
      <c r="C8" s="1" t="s">
        <v>5</v>
      </c>
      <c r="D8" s="3">
        <v>25000.0</v>
      </c>
      <c r="F8" s="8" t="s">
        <v>0</v>
      </c>
      <c r="G8" s="9">
        <f>D8/(AVERAGE(E10:E14))</f>
        <v>6.944444444</v>
      </c>
      <c r="H8" s="9">
        <f>D8/((E10*H10)+(E12*H12)+(E14*H14))</f>
        <v>7.102272727</v>
      </c>
      <c r="L8" s="2" t="s">
        <v>14</v>
      </c>
      <c r="O8" s="10">
        <v>0.075</v>
      </c>
      <c r="R8" s="1" t="s">
        <v>15</v>
      </c>
      <c r="S8" s="3">
        <v>70000.0</v>
      </c>
      <c r="T8" s="5">
        <v>0.05</v>
      </c>
      <c r="U8" s="7">
        <f t="shared" si="1"/>
        <v>0.14</v>
      </c>
    </row>
    <row r="9">
      <c r="C9" s="1"/>
      <c r="D9" s="3"/>
      <c r="E9" s="1" t="s">
        <v>16</v>
      </c>
      <c r="G9" s="1" t="s">
        <v>17</v>
      </c>
      <c r="L9" s="2" t="s">
        <v>18</v>
      </c>
      <c r="O9" s="5">
        <v>0.1</v>
      </c>
      <c r="R9" s="1" t="s">
        <v>19</v>
      </c>
      <c r="S9" s="3">
        <v>180000.0</v>
      </c>
      <c r="T9" s="10">
        <v>0.075</v>
      </c>
      <c r="U9" s="7">
        <f t="shared" si="1"/>
        <v>0.36</v>
      </c>
    </row>
    <row r="10">
      <c r="C10" s="1" t="s">
        <v>20</v>
      </c>
      <c r="D10" s="3">
        <v>5000.0</v>
      </c>
      <c r="E10" s="11">
        <f>D10-D11</f>
        <v>4000</v>
      </c>
      <c r="G10" s="1">
        <v>4.0</v>
      </c>
      <c r="H10" s="7">
        <f>G10/$G$15</f>
        <v>0.2666666667</v>
      </c>
      <c r="L10" s="2" t="s">
        <v>21</v>
      </c>
      <c r="O10" s="5">
        <v>0.3</v>
      </c>
      <c r="U10" s="6" t="s">
        <v>1</v>
      </c>
      <c r="V10" s="12">
        <f>(T6*U6)+(T7*U7)+(T8*U8)+(T9*U9)</f>
        <v>0.083</v>
      </c>
    </row>
    <row r="11">
      <c r="C11" s="1" t="s">
        <v>22</v>
      </c>
      <c r="D11" s="3">
        <v>1000.0</v>
      </c>
      <c r="L11" s="13"/>
    </row>
    <row r="12">
      <c r="C12" s="1" t="s">
        <v>23</v>
      </c>
      <c r="D12" s="3">
        <v>3500.0</v>
      </c>
      <c r="E12" s="11">
        <f>D12-D13</f>
        <v>2800</v>
      </c>
      <c r="G12" s="1">
        <v>6.0</v>
      </c>
      <c r="H12" s="7">
        <f>G12/$G$15</f>
        <v>0.4</v>
      </c>
    </row>
    <row r="13">
      <c r="C13" s="1" t="s">
        <v>24</v>
      </c>
      <c r="D13" s="3">
        <v>700.0</v>
      </c>
      <c r="L13" s="14" t="s">
        <v>25</v>
      </c>
    </row>
    <row r="14">
      <c r="C14" s="1" t="s">
        <v>26</v>
      </c>
      <c r="D14" s="3">
        <v>7000.0</v>
      </c>
      <c r="E14" s="11">
        <f>D14-D15</f>
        <v>4000</v>
      </c>
      <c r="G14" s="1">
        <v>5.0</v>
      </c>
      <c r="H14" s="7">
        <f>G14/$G$15</f>
        <v>0.3333333333</v>
      </c>
      <c r="L14" s="14" t="s">
        <v>27</v>
      </c>
      <c r="N14" s="15">
        <f>O8+(O7*(O9-O8))</f>
        <v>0.105</v>
      </c>
      <c r="O14" s="1" t="s">
        <v>28</v>
      </c>
    </row>
    <row r="15">
      <c r="C15" s="1" t="s">
        <v>29</v>
      </c>
      <c r="D15" s="3">
        <v>3000.0</v>
      </c>
      <c r="G15" s="16">
        <f t="shared" ref="G15:H15" si="2">G14+G12+G10</f>
        <v>15</v>
      </c>
      <c r="H15" s="12">
        <f t="shared" si="2"/>
        <v>1</v>
      </c>
      <c r="I15" s="16"/>
    </row>
    <row r="16">
      <c r="L16" s="1" t="s">
        <v>30</v>
      </c>
    </row>
    <row r="17">
      <c r="B17" s="1" t="s">
        <v>31</v>
      </c>
      <c r="L17" s="14" t="s">
        <v>32</v>
      </c>
      <c r="N17" s="17">
        <f>O5*(1-O10)</f>
        <v>0.119</v>
      </c>
      <c r="O17" s="1" t="s">
        <v>33</v>
      </c>
    </row>
    <row r="18">
      <c r="B18" s="4" t="s">
        <v>4</v>
      </c>
      <c r="C18" s="1" t="s">
        <v>5</v>
      </c>
      <c r="D18" s="3">
        <v>25000.0</v>
      </c>
    </row>
    <row r="19">
      <c r="C19" s="1" t="s">
        <v>34</v>
      </c>
      <c r="D19" s="3">
        <v>10000.0</v>
      </c>
      <c r="L19" s="1" t="s">
        <v>35</v>
      </c>
    </row>
    <row r="20">
      <c r="C20" s="1" t="s">
        <v>36</v>
      </c>
      <c r="D20" s="3">
        <v>47000.0</v>
      </c>
      <c r="M20" s="18" t="s">
        <v>37</v>
      </c>
      <c r="N20" s="7">
        <f>O6/(O4+O6)</f>
        <v>0.5</v>
      </c>
    </row>
    <row r="21">
      <c r="M21" s="18" t="s">
        <v>38</v>
      </c>
      <c r="N21" s="7">
        <f>O4/(O6+O4)</f>
        <v>0.5</v>
      </c>
    </row>
    <row r="22">
      <c r="C22" s="8" t="s">
        <v>0</v>
      </c>
      <c r="D22" s="19">
        <f>D18/(1-(D19/D20))</f>
        <v>31756.75676</v>
      </c>
    </row>
    <row r="23">
      <c r="L23" s="14" t="s">
        <v>39</v>
      </c>
    </row>
    <row r="25">
      <c r="M25" s="4" t="s">
        <v>40</v>
      </c>
      <c r="N25" s="15">
        <f>(N20*N14)+(N21*N17)</f>
        <v>0.112</v>
      </c>
    </row>
    <row r="26">
      <c r="C26" s="1" t="s">
        <v>41</v>
      </c>
      <c r="D26" s="1" t="s">
        <v>42</v>
      </c>
      <c r="E26" s="1" t="s">
        <v>43</v>
      </c>
      <c r="F26" s="1" t="s">
        <v>44</v>
      </c>
      <c r="G26" s="1" t="s">
        <v>45</v>
      </c>
    </row>
    <row r="27">
      <c r="C27" s="1" t="s">
        <v>46</v>
      </c>
      <c r="D27" s="3">
        <v>-100000.0</v>
      </c>
    </row>
    <row r="28">
      <c r="C28" s="1" t="s">
        <v>47</v>
      </c>
      <c r="E28" s="3">
        <v>350000.0</v>
      </c>
      <c r="F28" s="3">
        <v>520000.0</v>
      </c>
      <c r="G28" s="3">
        <v>650000.0</v>
      </c>
    </row>
    <row r="29">
      <c r="C29" s="1" t="s">
        <v>48</v>
      </c>
      <c r="E29" s="3">
        <v>210000.0</v>
      </c>
      <c r="F29" s="3">
        <v>350000.0</v>
      </c>
      <c r="G29" s="3">
        <v>480000.0</v>
      </c>
    </row>
    <row r="30">
      <c r="C30" s="20" t="s">
        <v>49</v>
      </c>
      <c r="D30" s="21"/>
      <c r="E30" s="22">
        <f t="shared" ref="E30:G30" si="3">E28-E29</f>
        <v>140000</v>
      </c>
      <c r="F30" s="22">
        <f t="shared" si="3"/>
        <v>170000</v>
      </c>
      <c r="G30" s="22">
        <f t="shared" si="3"/>
        <v>170000</v>
      </c>
      <c r="K30" s="1" t="s">
        <v>42</v>
      </c>
      <c r="L30" s="1" t="s">
        <v>43</v>
      </c>
      <c r="M30" s="1" t="s">
        <v>44</v>
      </c>
      <c r="N30" s="1" t="s">
        <v>45</v>
      </c>
      <c r="O30" s="1" t="s">
        <v>50</v>
      </c>
      <c r="P30" s="1" t="s">
        <v>51</v>
      </c>
    </row>
    <row r="31">
      <c r="C31" s="1" t="s">
        <v>52</v>
      </c>
      <c r="E31" s="3">
        <v>80000.0</v>
      </c>
      <c r="F31" s="3">
        <v>100000.0</v>
      </c>
      <c r="G31" s="3">
        <v>100000.0</v>
      </c>
      <c r="K31" s="3">
        <v>-500000.0</v>
      </c>
      <c r="L31" s="3">
        <v>102500.0</v>
      </c>
      <c r="M31" s="3">
        <v>116000.0</v>
      </c>
      <c r="N31" s="3">
        <v>131525.0</v>
      </c>
      <c r="O31" s="3">
        <v>143427.0</v>
      </c>
      <c r="P31" s="3">
        <v>156520.0</v>
      </c>
    </row>
    <row r="32">
      <c r="C32" s="1" t="s">
        <v>53</v>
      </c>
      <c r="E32" s="3">
        <v>40000.0</v>
      </c>
      <c r="F32" s="3">
        <v>55000.0</v>
      </c>
      <c r="G32" s="3">
        <v>55000.0</v>
      </c>
      <c r="L32" s="6" t="s">
        <v>1</v>
      </c>
      <c r="M32" s="7">
        <f>V10</f>
        <v>0.083</v>
      </c>
    </row>
    <row r="33">
      <c r="C33" s="20" t="s">
        <v>54</v>
      </c>
      <c r="D33" s="21"/>
      <c r="E33" s="22">
        <f t="shared" ref="E33:G33" si="4">E30-E31-E32</f>
        <v>20000</v>
      </c>
      <c r="F33" s="22">
        <f t="shared" si="4"/>
        <v>15000</v>
      </c>
      <c r="G33" s="22">
        <f t="shared" si="4"/>
        <v>15000</v>
      </c>
      <c r="L33" s="6" t="s">
        <v>55</v>
      </c>
      <c r="M33" s="11">
        <f>K31+((L31/(1+V10)^1)+(M31/(1+V10)^2)+(N31/(1+V10)^3)+(O31/(1+V10)^4)+(P31/(1+V10)^5))</f>
        <v>6406.586974</v>
      </c>
    </row>
    <row r="34">
      <c r="C34" s="1" t="s">
        <v>56</v>
      </c>
      <c r="E34" s="3">
        <v>10000.0</v>
      </c>
      <c r="F34" s="3">
        <v>10000.0</v>
      </c>
      <c r="G34" s="3">
        <v>10000.0</v>
      </c>
      <c r="L34" s="6" t="s">
        <v>57</v>
      </c>
      <c r="M34" s="7">
        <f>IRR(K31:P31)</f>
        <v>0.08753387963</v>
      </c>
    </row>
    <row r="35">
      <c r="C35" s="20" t="s">
        <v>58</v>
      </c>
      <c r="D35" s="21"/>
      <c r="E35" s="22">
        <f t="shared" ref="E35:G35" si="5">E33-E34</f>
        <v>10000</v>
      </c>
      <c r="F35" s="22">
        <f t="shared" si="5"/>
        <v>5000</v>
      </c>
      <c r="G35" s="22">
        <f t="shared" si="5"/>
        <v>5000</v>
      </c>
      <c r="K35" s="6" t="s">
        <v>59</v>
      </c>
      <c r="L35" s="11">
        <f>K31+L31</f>
        <v>-397500</v>
      </c>
      <c r="M35" s="11">
        <f t="shared" ref="M35:P35" si="6">L35+M31</f>
        <v>-281500</v>
      </c>
      <c r="N35" s="11">
        <f t="shared" si="6"/>
        <v>-149975</v>
      </c>
      <c r="O35" s="11">
        <f t="shared" si="6"/>
        <v>-6548</v>
      </c>
      <c r="P35" s="11">
        <f t="shared" si="6"/>
        <v>149972</v>
      </c>
    </row>
    <row r="36">
      <c r="C36" s="1" t="s">
        <v>60</v>
      </c>
      <c r="E36" s="11">
        <f t="shared" ref="E36:G36" si="7">E35*0.3</f>
        <v>3000</v>
      </c>
      <c r="F36" s="11">
        <f t="shared" si="7"/>
        <v>1500</v>
      </c>
      <c r="G36" s="11">
        <f t="shared" si="7"/>
        <v>1500</v>
      </c>
      <c r="K36" s="16">
        <f>SUM(L36:P36)</f>
        <v>4</v>
      </c>
      <c r="L36" s="1">
        <v>1.0</v>
      </c>
      <c r="M36" s="1">
        <v>1.0</v>
      </c>
      <c r="N36" s="1">
        <v>1.0</v>
      </c>
      <c r="O36" s="1">
        <v>1.0</v>
      </c>
    </row>
    <row r="37">
      <c r="C37" s="23" t="s">
        <v>61</v>
      </c>
      <c r="D37" s="24">
        <v>-100000.0</v>
      </c>
      <c r="E37" s="25">
        <f t="shared" ref="E37:G37" si="8">E35-E36</f>
        <v>7000</v>
      </c>
      <c r="F37" s="25">
        <f t="shared" si="8"/>
        <v>3500</v>
      </c>
      <c r="G37" s="25">
        <f t="shared" si="8"/>
        <v>3500</v>
      </c>
    </row>
    <row r="38">
      <c r="K38" s="3">
        <v>500000.0</v>
      </c>
      <c r="L38" s="3">
        <v>100000.0</v>
      </c>
      <c r="M38" s="3">
        <v>100000.0</v>
      </c>
      <c r="N38" s="3">
        <v>100000.0</v>
      </c>
      <c r="O38" s="3">
        <v>100000.0</v>
      </c>
      <c r="P38" s="3">
        <v>100000.0</v>
      </c>
    </row>
    <row r="39">
      <c r="C39" s="26" t="s">
        <v>62</v>
      </c>
      <c r="D39" s="27"/>
      <c r="E39" s="27"/>
      <c r="F39" s="28">
        <f>F37+E37</f>
        <v>10500</v>
      </c>
      <c r="G39" s="28">
        <f>F39+G37</f>
        <v>14000</v>
      </c>
      <c r="L39" s="6" t="s">
        <v>59</v>
      </c>
      <c r="M39" s="16">
        <f>K38/L38</f>
        <v>5</v>
      </c>
    </row>
  </sheetData>
  <mergeCells count="2">
    <mergeCell ref="G9:H9"/>
    <mergeCell ref="R3:S3"/>
  </mergeCells>
  <drawing r:id="rId1"/>
</worksheet>
</file>