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1766851ce40000f/Emprendimiento/AnalitiX/Cursos/25_11 FINANZAS/U2_CLASIFICACIÓN DE COSTOS/"/>
    </mc:Choice>
  </mc:AlternateContent>
  <xr:revisionPtr revIDLastSave="158" documentId="8_{49AD994D-3455-2C4D-8203-0A8B9A73087B}" xr6:coauthVersionLast="47" xr6:coauthVersionMax="47" xr10:uidLastSave="{34A55D2A-65FA-724A-BDCC-584A0EB77D2C}"/>
  <bookViews>
    <workbookView xWindow="5380" yWindow="1140" windowWidth="19500" windowHeight="14280" firstSheet="1" activeTab="6" xr2:uid="{5D4DFA1F-CD3D-0A43-81B1-59CE389B4790}"/>
  </bookViews>
  <sheets>
    <sheet name="parámetros" sheetId="4" r:id="rId1"/>
    <sheet name="Clasificación de costos" sheetId="1" r:id="rId2"/>
    <sheet name="Ingresos" sheetId="7" r:id="rId3"/>
    <sheet name="Clientes" sheetId="6" r:id="rId4"/>
    <sheet name="Costos" sheetId="2" r:id="rId5"/>
    <sheet name="EERR" sheetId="3" r:id="rId6"/>
    <sheet name="Punto de equilibrio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3" l="1"/>
  <c r="E53" i="3"/>
  <c r="D53" i="3"/>
  <c r="E52" i="3"/>
  <c r="C51" i="3"/>
  <c r="C41" i="3" l="1"/>
  <c r="C40" i="3"/>
  <c r="D52" i="3" s="1"/>
  <c r="D54" i="3" s="1"/>
  <c r="F6" i="8"/>
  <c r="F4" i="8"/>
  <c r="D10" i="8"/>
  <c r="E6" i="8"/>
  <c r="E4" i="8"/>
  <c r="D9" i="8"/>
  <c r="D8" i="8"/>
  <c r="D6" i="8"/>
  <c r="N23" i="3"/>
  <c r="K23" i="3"/>
  <c r="L23" i="3"/>
  <c r="M23" i="3"/>
  <c r="D23" i="3"/>
  <c r="E23" i="3"/>
  <c r="F23" i="3"/>
  <c r="G23" i="3"/>
  <c r="H23" i="3"/>
  <c r="I23" i="3"/>
  <c r="J23" i="3"/>
  <c r="C23" i="3"/>
  <c r="C17" i="3"/>
  <c r="D17" i="3" s="1"/>
  <c r="E17" i="3" s="1"/>
  <c r="F17" i="3" s="1"/>
  <c r="G17" i="3" s="1"/>
  <c r="H17" i="3" s="1"/>
  <c r="I17" i="3" s="1"/>
  <c r="J17" i="3" s="1"/>
  <c r="K17" i="3" s="1"/>
  <c r="L17" i="3" s="1"/>
  <c r="M17" i="3" s="1"/>
  <c r="N17" i="3" s="1"/>
  <c r="N25" i="3" s="1"/>
  <c r="C16" i="3"/>
  <c r="D16" i="3" s="1"/>
  <c r="E16" i="3" s="1"/>
  <c r="F16" i="3" s="1"/>
  <c r="G16" i="3" s="1"/>
  <c r="H16" i="3" s="1"/>
  <c r="I16" i="3" s="1"/>
  <c r="J16" i="3" s="1"/>
  <c r="K16" i="3" s="1"/>
  <c r="L16" i="3" s="1"/>
  <c r="M16" i="3" s="1"/>
  <c r="N16" i="3" s="1"/>
  <c r="N24" i="3" s="1"/>
  <c r="C14" i="3" a="1"/>
  <c r="C14" i="3" s="1"/>
  <c r="C13" i="3" a="1"/>
  <c r="C13" i="3" s="1"/>
  <c r="C19" i="3"/>
  <c r="D19" i="3" s="1"/>
  <c r="E19" i="3" s="1"/>
  <c r="F19" i="3" s="1"/>
  <c r="G19" i="3" s="1"/>
  <c r="H19" i="3" s="1"/>
  <c r="I19" i="3" s="1"/>
  <c r="J19" i="3" s="1"/>
  <c r="K19" i="3" s="1"/>
  <c r="L19" i="3" s="1"/>
  <c r="M19" i="3" s="1"/>
  <c r="N19" i="3" s="1"/>
  <c r="N35" i="3" s="1"/>
  <c r="C18" i="3"/>
  <c r="D18" i="3" s="1"/>
  <c r="E18" i="3" s="1"/>
  <c r="F18" i="3" s="1"/>
  <c r="G18" i="3" s="1"/>
  <c r="H18" i="3" s="1"/>
  <c r="I18" i="3" s="1"/>
  <c r="J18" i="3" s="1"/>
  <c r="K18" i="3" s="1"/>
  <c r="L18" i="3" s="1"/>
  <c r="M18" i="3" s="1"/>
  <c r="N18" i="3" s="1"/>
  <c r="N27" i="3" s="1"/>
  <c r="M15" i="3"/>
  <c r="N15" i="3"/>
  <c r="D15" i="3"/>
  <c r="E15" i="3"/>
  <c r="F15" i="3"/>
  <c r="G15" i="3"/>
  <c r="H15" i="3"/>
  <c r="I15" i="3"/>
  <c r="J15" i="3"/>
  <c r="K15" i="3"/>
  <c r="L15" i="3"/>
  <c r="C15" i="3"/>
  <c r="N41" i="3"/>
  <c r="M41" i="3"/>
  <c r="L41" i="3"/>
  <c r="K41" i="3"/>
  <c r="J41" i="3"/>
  <c r="I41" i="3"/>
  <c r="H41" i="3"/>
  <c r="G41" i="3"/>
  <c r="F41" i="3"/>
  <c r="E41" i="3"/>
  <c r="D41" i="3"/>
  <c r="N40" i="3"/>
  <c r="M40" i="3"/>
  <c r="L40" i="3"/>
  <c r="K40" i="3"/>
  <c r="J40" i="3"/>
  <c r="I40" i="3"/>
  <c r="H40" i="3"/>
  <c r="G40" i="3"/>
  <c r="F40" i="3"/>
  <c r="E40" i="3"/>
  <c r="D40" i="3"/>
  <c r="B35" i="3"/>
  <c r="B34" i="3"/>
  <c r="B27" i="3"/>
  <c r="N26" i="3" l="1"/>
  <c r="N28" i="3" s="1"/>
  <c r="N36" i="3"/>
  <c r="N42" i="3"/>
  <c r="N43" i="3" s="1"/>
  <c r="N44" i="3" s="1"/>
  <c r="H35" i="3"/>
  <c r="H42" i="3" s="1"/>
  <c r="H43" i="3" s="1"/>
  <c r="H44" i="3" s="1"/>
  <c r="J35" i="3"/>
  <c r="J42" i="3" s="1"/>
  <c r="J43" i="3" s="1"/>
  <c r="J44" i="3" s="1"/>
  <c r="F24" i="3"/>
  <c r="J25" i="3"/>
  <c r="M27" i="3"/>
  <c r="E27" i="3"/>
  <c r="M24" i="3"/>
  <c r="E24" i="3"/>
  <c r="I25" i="3"/>
  <c r="I26" i="3" s="1"/>
  <c r="I28" i="3" s="1"/>
  <c r="L27" i="3"/>
  <c r="D27" i="3"/>
  <c r="I35" i="3"/>
  <c r="I36" i="3" s="1"/>
  <c r="J27" i="3"/>
  <c r="I27" i="3"/>
  <c r="H27" i="3"/>
  <c r="G27" i="3"/>
  <c r="L24" i="3"/>
  <c r="D24" i="3"/>
  <c r="D26" i="3" s="1"/>
  <c r="D28" i="3" s="1"/>
  <c r="H25" i="3"/>
  <c r="K27" i="3"/>
  <c r="C35" i="3"/>
  <c r="G35" i="3"/>
  <c r="G42" i="3" s="1"/>
  <c r="K24" i="3"/>
  <c r="C25" i="3"/>
  <c r="G25" i="3"/>
  <c r="F35" i="3"/>
  <c r="F36" i="3" s="1"/>
  <c r="J24" i="3"/>
  <c r="F25" i="3"/>
  <c r="F26" i="3" s="1"/>
  <c r="F28" i="3" s="1"/>
  <c r="M35" i="3"/>
  <c r="E35" i="3"/>
  <c r="I24" i="3"/>
  <c r="M25" i="3"/>
  <c r="E25" i="3"/>
  <c r="E26" i="3" s="1"/>
  <c r="E28" i="3" s="1"/>
  <c r="L35" i="3"/>
  <c r="D35" i="3"/>
  <c r="H24" i="3"/>
  <c r="H26" i="3" s="1"/>
  <c r="H28" i="3" s="1"/>
  <c r="L25" i="3"/>
  <c r="D25" i="3"/>
  <c r="K35" i="3"/>
  <c r="K36" i="3" s="1"/>
  <c r="C24" i="3"/>
  <c r="C26" i="3" s="1"/>
  <c r="C28" i="3" s="1"/>
  <c r="G24" i="3"/>
  <c r="G26" i="3" s="1"/>
  <c r="G28" i="3" s="1"/>
  <c r="K25" i="3"/>
  <c r="C27" i="3"/>
  <c r="F27" i="3"/>
  <c r="K26" i="3"/>
  <c r="K28" i="3" s="1"/>
  <c r="G36" i="3"/>
  <c r="K42" i="3"/>
  <c r="K43" i="3"/>
  <c r="K44" i="3" s="1"/>
  <c r="G43" i="3"/>
  <c r="G44" i="3" s="1"/>
  <c r="H36" i="3" l="1"/>
  <c r="J26" i="3"/>
  <c r="J28" i="3" s="1"/>
  <c r="I42" i="3"/>
  <c r="I43" i="3" s="1"/>
  <c r="I44" i="3" s="1"/>
  <c r="F42" i="3"/>
  <c r="F43" i="3" s="1"/>
  <c r="F44" i="3" s="1"/>
  <c r="M42" i="3"/>
  <c r="M43" i="3" s="1"/>
  <c r="M44" i="3" s="1"/>
  <c r="M36" i="3"/>
  <c r="D36" i="3"/>
  <c r="D42" i="3"/>
  <c r="D43" i="3" s="1"/>
  <c r="D44" i="3" s="1"/>
  <c r="L26" i="3"/>
  <c r="L28" i="3" s="1"/>
  <c r="M26" i="3"/>
  <c r="M28" i="3" s="1"/>
  <c r="C42" i="3"/>
  <c r="L42" i="3"/>
  <c r="L43" i="3" s="1"/>
  <c r="L44" i="3" s="1"/>
  <c r="L36" i="3"/>
  <c r="J36" i="3"/>
  <c r="E36" i="3"/>
  <c r="E42" i="3"/>
  <c r="E43" i="3" s="1"/>
  <c r="E44" i="3" s="1"/>
  <c r="C53" i="3" l="1"/>
  <c r="C43" i="3"/>
  <c r="E51" i="3" l="1"/>
  <c r="C52" i="3"/>
  <c r="C44" i="3"/>
  <c r="C54" i="3" l="1"/>
  <c r="E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<sst xmlns="http://schemas.openxmlformats.org/spreadsheetml/2006/main" count="302" uniqueCount="149">
  <si>
    <t>Concepto</t>
  </si>
  <si>
    <t>Variable</t>
  </si>
  <si>
    <t>Directo</t>
  </si>
  <si>
    <t>Fijo</t>
  </si>
  <si>
    <t>Indirecto</t>
  </si>
  <si>
    <t>Tipo de costo</t>
  </si>
  <si>
    <t>Naturaleza</t>
  </si>
  <si>
    <t>Descripción</t>
  </si>
  <si>
    <t>Publicidad en Meta Ads y Google Ads (por registro generado)</t>
  </si>
  <si>
    <t>Se paga por cada registro o alumno obtenido a través de campañas digitales.</t>
  </si>
  <si>
    <t>Honorarios de los tutores por sesión en vivo</t>
  </si>
  <si>
    <t>Pago acordado por horas o sesiones; no depende del número de alumnos inscritos.</t>
  </si>
  <si>
    <t>Materiales digitales (manuales, dashboards, plantillas descargables)</t>
  </si>
  <si>
    <t>Se generan o distribuyen en función del número de participantes.</t>
  </si>
  <si>
    <t>Licencia de software educativo para aulas virtuales (por curso abierto)</t>
  </si>
  <si>
    <t>Plataforma de enseñanza necesaria para impartir el curso.</t>
  </si>
  <si>
    <t>Licencia de analítica avanzada (Power BI Pro, ChatGPT Plus)</t>
  </si>
  <si>
    <t>Herramientas de análisis utilizadas por los instructores.</t>
  </si>
  <si>
    <t>Producción de video promocional (única vez)</t>
  </si>
  <si>
    <t>Material audiovisual para el lanzamiento del curso.</t>
  </si>
  <si>
    <t>Comisión de pasarela de pago (Stripe y PayPal)</t>
  </si>
  <si>
    <t>Porcentaje aplicado a cada transacción de inscripción.</t>
  </si>
  <si>
    <t>Regalos digitales (e-books y plantillas premium para alumnos)</t>
  </si>
  <si>
    <t>Material adicional ofrecido como incentivo por alumno.</t>
  </si>
  <si>
    <t>Soporte técnico adicional (aumenta según número de alumnos)</t>
  </si>
  <si>
    <t>Costo de atención técnica proporcional al número de inscritos.</t>
  </si>
  <si>
    <t>Renta del espacio de coworking</t>
  </si>
  <si>
    <t>Gastos de espacio físico para el equipo administrativo.</t>
  </si>
  <si>
    <t>Sueldo del asistente administrativo</t>
  </si>
  <si>
    <t>Personal de apoyo que gestiona tareas operativas.</t>
  </si>
  <si>
    <t>Servicios de internet, luz y telefonía fija</t>
  </si>
  <si>
    <t>Gastos generales de servicios de oficina.</t>
  </si>
  <si>
    <t>Licencias anuales de CRM (Kommo)</t>
  </si>
  <si>
    <t>Sistema de gestión de clientes y ventas.</t>
  </si>
  <si>
    <t>Hosting y mantenimiento del sitio web</t>
  </si>
  <si>
    <t>Costos de dominio, servidor y actualizaciones técnicas.</t>
  </si>
  <si>
    <t>Servicios de almacenamiento en la nube (Google Drive, Notion)</t>
  </si>
  <si>
    <t>Espacio para almacenar archivos, bases de datos y material del curso.</t>
  </si>
  <si>
    <t>Contador externo y asesoría fiscal mensual</t>
  </si>
  <si>
    <t>Servicios contables y fiscales de la consultora.</t>
  </si>
  <si>
    <t>Gastos de suscripción a herramientas de diseño y edición (Canva Pro, Adobe)</t>
  </si>
  <si>
    <t>Herramientas de diseño para materiales visuales y promocionales.</t>
  </si>
  <si>
    <t>Categoría</t>
  </si>
  <si>
    <t>Costo_unitario_MXN</t>
  </si>
  <si>
    <t>Unidad_de_cálculo</t>
  </si>
  <si>
    <t>Gastos variables directos</t>
  </si>
  <si>
    <t>Por alumno</t>
  </si>
  <si>
    <t>Gastos fijos directos</t>
  </si>
  <si>
    <t>Por curso</t>
  </si>
  <si>
    <t>Gastos fijos indirectos</t>
  </si>
  <si>
    <t>Por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</si>
  <si>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</si>
  <si>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</si>
  <si>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</si>
  <si>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</si>
  <si>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</si>
  <si>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</si>
  <si>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</si>
  <si>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</si>
  <si>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</si>
  <si>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</si>
  <si>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</si>
  <si>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</si>
  <si>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Número total de clientes de la Consultora</t>
  </si>
  <si>
    <t xml:space="preserve">Número de clientes inscritos en el curso </t>
  </si>
  <si>
    <t>Precio unitario del curso</t>
  </si>
  <si>
    <t>Costos variables directos por cliente</t>
  </si>
  <si>
    <t>Costos variables indirectos por cliente</t>
  </si>
  <si>
    <t>Costos fijos directos</t>
  </si>
  <si>
    <t>Costos fijos indirectos</t>
  </si>
  <si>
    <t>Estado de Resultados del Curso</t>
  </si>
  <si>
    <t>Ingresos del Curso</t>
  </si>
  <si>
    <t>Costos variables directos</t>
  </si>
  <si>
    <t>Costos variables indirectos</t>
  </si>
  <si>
    <t>Total de costos variables</t>
  </si>
  <si>
    <t>Contribución marginal del curso</t>
  </si>
  <si>
    <t>Estado de Resultados de la Consultora</t>
  </si>
  <si>
    <t>Ingresos Totales</t>
  </si>
  <si>
    <t>Utilidad de Operación</t>
  </si>
  <si>
    <t>Análisis del Punto de Equilibrio</t>
  </si>
  <si>
    <t>Ingresos</t>
  </si>
  <si>
    <t>Costos Variables</t>
  </si>
  <si>
    <t>Costos Fijos</t>
  </si>
  <si>
    <t>Punto de Equilibrio</t>
  </si>
  <si>
    <t>Cobertura del Punto de Equilibrio</t>
  </si>
  <si>
    <t>Parámetro</t>
  </si>
  <si>
    <t>Valor</t>
  </si>
  <si>
    <t>Precio por alumno (MXN)</t>
  </si>
  <si>
    <t>Consumo de internet adicional</t>
  </si>
  <si>
    <t>Almacenamiento en la nube extra</t>
  </si>
  <si>
    <t>Publicidad digital de la consultora (Ads)</t>
  </si>
  <si>
    <t>Correos masivos Mailchimp</t>
  </si>
  <si>
    <t>Gastos variables indirectos</t>
  </si>
  <si>
    <t>Electricidad adicional</t>
  </si>
  <si>
    <t>Espacio adicional contratado según la cantidad de alumnos o volumen de materiales generados.</t>
  </si>
  <si>
    <t>Incremento en el gasto de internet derivado del uso intensivo de plataformas digitales durante el curso.</t>
  </si>
  <si>
    <t>Costo del envío automatizado de correos masivos y campañas a los participantes del curso.</t>
  </si>
  <si>
    <t>Aumento del consumo eléctrico por uso extendido de equipos tecnológicos.</t>
  </si>
  <si>
    <t>Campañas de posicionamiento de marca para atraer potenciales alumnos a la consultora.</t>
  </si>
  <si>
    <t>Mes</t>
  </si>
  <si>
    <t>Clientes de la consultora</t>
  </si>
  <si>
    <t>Variación mensual (%)</t>
  </si>
  <si>
    <t>Clientes inscritos en el curso</t>
  </si>
  <si>
    <t>Observaciones</t>
  </si>
  <si>
    <t>Enero</t>
  </si>
  <si>
    <t>—</t>
  </si>
  <si>
    <t>Mes base con poca promoción.</t>
  </si>
  <si>
    <t>Febrero</t>
  </si>
  <si>
    <t>Aumento de interés inicial en el curso.</t>
  </si>
  <si>
    <t>Marzo</t>
  </si>
  <si>
    <t>Expansión de la campaña digital.</t>
  </si>
  <si>
    <t>Abril</t>
  </si>
  <si>
    <t>Ajuste por estacionalidad.</t>
  </si>
  <si>
    <t>Mayo</t>
  </si>
  <si>
    <t>Incremento por referidos y testimonios.</t>
  </si>
  <si>
    <t>Junio</t>
  </si>
  <si>
    <t>Campaña de mitad de año y relanzamiento.</t>
  </si>
  <si>
    <t>Julio</t>
  </si>
  <si>
    <t>Estacionalidad baja de verano.</t>
  </si>
  <si>
    <t>Agosto</t>
  </si>
  <si>
    <t>Regreso de interés previo a septiembre.</t>
  </si>
  <si>
    <t>Septiembre</t>
  </si>
  <si>
    <t>Reducción temporal por carga académica.</t>
  </si>
  <si>
    <t>Octubre</t>
  </si>
  <si>
    <t>Incremento por nueva edición del curso.</t>
  </si>
  <si>
    <t>Noviembre</t>
  </si>
  <si>
    <t>Picos de inscripción antes de cierre anual.</t>
  </si>
  <si>
    <t>Diciembre</t>
  </si>
  <si>
    <t>Ingresos Totales (MXN)</t>
  </si>
  <si>
    <t>Costos Variables (MXN)</t>
  </si>
  <si>
    <t>Costos Fijos Directos (MXN)</t>
  </si>
  <si>
    <t>Contribución Marginal (MXN)</t>
  </si>
  <si>
    <t>Utilidad Operativa (MXN)</t>
  </si>
  <si>
    <t>Margen Operativo (%)</t>
  </si>
  <si>
    <t>ESTADO DE RESULTADOS</t>
  </si>
  <si>
    <t>Variación mensual (%)2</t>
  </si>
  <si>
    <t>Ventas</t>
  </si>
  <si>
    <t>Gastos variables</t>
  </si>
  <si>
    <t>Gastos fijos</t>
  </si>
  <si>
    <t>Utilidad</t>
  </si>
  <si>
    <t>GV/Ventas</t>
  </si>
  <si>
    <t>1-(GV/Ventas)</t>
  </si>
  <si>
    <t>Punto de equilibrio</t>
  </si>
  <si>
    <t>Simulación sobre el punto de equilibrio</t>
  </si>
  <si>
    <t>Costos variables</t>
  </si>
  <si>
    <t>Costos fijos</t>
  </si>
  <si>
    <t>Real P.E</t>
  </si>
  <si>
    <t>Aumentar $100 ventas</t>
  </si>
  <si>
    <t>Disminuir $100 Costos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</si>
</sst>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6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name val="Calibri"/>
      <family val="2"/>
    </font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0"/>
      <color rgb="FF00B0F0"/>
      <name val="Arial"/>
      <family val="2"/>
    </font>
    <font>
      <sz val="12"/>
      <color rgb="FF00B0F0"/>
      <name val="Aptos Narrow"/>
      <family val="2"/>
      <scheme val="minor"/>
    </font>
    <font>
      <sz val="10"/>
      <color theme="5" tint="-0.249977111117893"/>
      <name val="Arial"/>
      <family val="2"/>
    </font>
    <font>
      <i/>
      <sz val="10"/>
      <color theme="5" tint="-0.249977111117893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0" fontId="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1" xfId="0" applyBorder="1"/>
    <xf numFmtId="0" fontId="0" fillId="2" borderId="2" xfId="0" applyFill="1" applyBorder="1"/>
    <xf numFmtId="0" fontId="3" fillId="0" borderId="0" xfId="1"/>
    <xf numFmtId="0" fontId="2" fillId="0" borderId="2" xfId="0" applyFont="1" applyBorder="1"/>
    <xf numFmtId="0" fontId="2" fillId="0" borderId="2" xfId="1" applyFont="1" applyBorder="1"/>
    <xf numFmtId="0" fontId="3" fillId="2" borderId="2" xfId="1" applyFill="1" applyBorder="1"/>
    <xf numFmtId="0" fontId="5" fillId="0" borderId="0" xfId="1" applyFont="1"/>
    <xf numFmtId="0" fontId="6" fillId="0" borderId="0" xfId="1" applyFont="1" applyAlignment="1">
      <alignment horizontal="center"/>
    </xf>
    <xf numFmtId="0" fontId="5" fillId="0" borderId="0" xfId="1" applyFont="1" applyAlignment="1">
      <alignment horizontal="right"/>
    </xf>
    <xf numFmtId="0" fontId="5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4" fontId="5" fillId="0" borderId="0" xfId="1" applyNumberFormat="1" applyFont="1" applyAlignment="1">
      <alignment horizontal="center"/>
    </xf>
    <xf numFmtId="0" fontId="7" fillId="0" borderId="0" xfId="1" applyFont="1" applyAlignment="1">
      <alignment horizontal="right"/>
    </xf>
    <xf numFmtId="0" fontId="8" fillId="3" borderId="0" xfId="1" applyFont="1" applyFill="1" applyAlignment="1">
      <alignment horizontal="right"/>
    </xf>
    <xf numFmtId="0" fontId="6" fillId="3" borderId="0" xfId="1" applyFont="1" applyFill="1" applyAlignment="1">
      <alignment horizontal="right"/>
    </xf>
    <xf numFmtId="0" fontId="9" fillId="0" borderId="0" xfId="1" applyFont="1" applyAlignment="1">
      <alignment horizontal="right"/>
    </xf>
    <xf numFmtId="0" fontId="9" fillId="0" borderId="0" xfId="0" applyFont="1" applyAlignment="1">
      <alignment horizontal="center"/>
    </xf>
    <xf numFmtId="3" fontId="11" fillId="0" borderId="0" xfId="1" applyNumberFormat="1" applyFont="1" applyAlignment="1">
      <alignment horizontal="center"/>
    </xf>
    <xf numFmtId="4" fontId="11" fillId="0" borderId="0" xfId="1" applyNumberFormat="1" applyFont="1" applyAlignment="1">
      <alignment horizontal="center"/>
    </xf>
    <xf numFmtId="4" fontId="12" fillId="3" borderId="0" xfId="1" applyNumberFormat="1" applyFont="1" applyFill="1" applyAlignment="1">
      <alignment horizontal="center"/>
    </xf>
    <xf numFmtId="2" fontId="11" fillId="0" borderId="0" xfId="1" applyNumberFormat="1" applyFont="1" applyAlignment="1">
      <alignment horizontal="center"/>
    </xf>
    <xf numFmtId="0" fontId="1" fillId="0" borderId="2" xfId="0" applyFont="1" applyBorder="1"/>
    <xf numFmtId="10" fontId="0" fillId="0" borderId="0" xfId="0" applyNumberFormat="1"/>
    <xf numFmtId="10" fontId="0" fillId="2" borderId="0" xfId="0" applyNumberFormat="1" applyFill="1"/>
    <xf numFmtId="10" fontId="0" fillId="0" borderId="1" xfId="0" applyNumberFormat="1" applyBorder="1"/>
    <xf numFmtId="3" fontId="0" fillId="2" borderId="2" xfId="0" applyNumberFormat="1" applyFill="1" applyBorder="1"/>
    <xf numFmtId="10" fontId="0" fillId="2" borderId="2" xfId="0" applyNumberFormat="1" applyFill="1" applyBorder="1"/>
    <xf numFmtId="3" fontId="0" fillId="0" borderId="0" xfId="0" applyNumberFormat="1"/>
    <xf numFmtId="3" fontId="0" fillId="2" borderId="0" xfId="0" applyNumberFormat="1" applyFill="1"/>
    <xf numFmtId="3" fontId="0" fillId="0" borderId="1" xfId="0" applyNumberFormat="1" applyBorder="1"/>
    <xf numFmtId="44" fontId="3" fillId="2" borderId="2" xfId="2" applyFont="1" applyFill="1" applyBorder="1"/>
    <xf numFmtId="0" fontId="0" fillId="0" borderId="3" xfId="0" applyBorder="1"/>
    <xf numFmtId="44" fontId="0" fillId="0" borderId="3" xfId="2" applyFont="1" applyBorder="1"/>
    <xf numFmtId="44" fontId="5" fillId="0" borderId="0" xfId="2" applyFont="1"/>
    <xf numFmtId="44" fontId="5" fillId="0" borderId="4" xfId="2" applyFont="1" applyBorder="1"/>
    <xf numFmtId="0" fontId="15" fillId="5" borderId="0" xfId="1" applyFont="1" applyFill="1"/>
    <xf numFmtId="3" fontId="10" fillId="0" borderId="0" xfId="0" applyNumberFormat="1" applyFont="1" applyAlignment="1">
      <alignment horizontal="center"/>
    </xf>
    <xf numFmtId="0" fontId="4" fillId="4" borderId="0" xfId="1" applyFont="1" applyFill="1" applyAlignment="1">
      <alignment horizontal="center"/>
    </xf>
    <xf numFmtId="0" fontId="4" fillId="0" borderId="0" xfId="1" applyFont="1" applyAlignment="1">
      <alignment horizontal="center"/>
    </xf>
    <xf numFmtId="44" fontId="0" fillId="0" borderId="3" xfId="0" applyNumberFormat="1" applyBorder="1"/>
    <xf numFmtId="0" fontId="14" fillId="6" borderId="3" xfId="0" applyFont="1" applyFill="1" applyBorder="1"/>
    <xf numFmtId="44" fontId="0" fillId="6" borderId="3" xfId="0" applyNumberFormat="1" applyFill="1" applyBorder="1"/>
    <xf numFmtId="9" fontId="0" fillId="0" borderId="3" xfId="3" applyFont="1" applyBorder="1"/>
    <xf numFmtId="9" fontId="0" fillId="0" borderId="3" xfId="0" applyNumberFormat="1" applyBorder="1"/>
  </cellXfs>
  <cellStyles count="4">
    <cellStyle name="Moneda" xfId="2" builtinId="4"/>
    <cellStyle name="Normal" xfId="0" builtinId="0"/>
    <cellStyle name="Normal 2" xfId="1" xr:uid="{76D39D43-EE21-8A47-9AF1-7524A244B509}"/>
    <cellStyle name="Porcentaje" xfId="3" builtinId="5"/>
  </cellStyles>
  <dxfs count="2">
    <dxf>
      <border outline="0">
        <top style="thin">
          <color theme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2828042</xdr:colOff>
      <xdr:row>0</xdr:row>
      <xdr:rowOff>0</xdr:rowOff>
    </xdr:from>
    <xdr:to>
      <xdr:col>9</xdr:col>
      <xdr:colOff>531463</xdr:colOff>
      <xdr:row>9</xdr:row>
      <xdr:rowOff>78557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59FC31-5A42-47CC-2EC9-2B57F4B2FE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8749" r="782" b="34416"/>
        <a:stretch>
          <a:fillRect/>
        </a:stretch>
      </xdr:blipFill>
      <xdr:spPr>
        <a:xfrm>
          <a:off x="3652887" y="0"/>
          <a:ext cx="7711650" cy="1610413"/>
        </a:xfrm>
        <a:prstGeom prst="rect">
          <a:avLst/>
        </a:prstGeom>
      </xdr:spPr>
    </xdr:pic>
    <xdr:clientData/>
  </xdr:twoCellAnchor>
  <xdr:twoCellAnchor editAs="oneCell">
    <xdr:from>
      <xdr:col>5</xdr:col>
      <xdr:colOff>812800</xdr:colOff>
      <xdr:row>48</xdr:row>
      <xdr:rowOff>121920</xdr:rowOff>
    </xdr:from>
    <xdr:to>
      <xdr:col>11</xdr:col>
      <xdr:colOff>132284</xdr:colOff>
      <xdr:row>55</xdr:row>
      <xdr:rowOff>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732EA95-0F3F-CD43-9C19-E17746EC1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52080" y="8046720"/>
          <a:ext cx="4257244" cy="1110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589643</xdr:colOff>
      <xdr:row>1</xdr:row>
      <xdr:rowOff>105832</xdr:rowOff>
    </xdr:from>
    <xdr:to>
      <xdr:col>11</xdr:col>
      <xdr:colOff>726947</xdr:colOff>
      <xdr:row>6</xdr:row>
      <xdr:rowOff>195721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EE27E5-15A9-6046-9FC9-67FAF8C6C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3274" y="309939"/>
          <a:ext cx="4257244" cy="11104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0E2B6E-C556-384B-85F1-B2C4C3A43D90}" name="Tabla9" displayName="Tabla9" ref="A1:D23" totalsRowShown="0" headerRowDxfId="1" tableBorderDxfId="0">
  <autoFilter ref="A1:D23" xr:uid="{170E2B6E-C556-384B-85F1-B2C4C3A43D90}"/>
  <tableColumns count="4">
    <tableColumn id="1" xr3:uid="{2ABB6344-139D-5744-AB1D-5DFF39007030}" name="Concepto"/>
    <tableColumn id="2" xr3:uid="{206FC8ED-3C5A-E442-A971-5490F0C10E4B}" name="Tipo de costo"/>
    <tableColumn id="3" xr3:uid="{9031D4F8-07F0-3442-9EFC-392BB842FFEC}" name="Naturaleza"/>
    <tableColumn id="4" xr3:uid="{2665FEA8-E30B-2646-95CB-2973FA785385}" name="Descripción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E3ED0-A75B-5F4C-8DBE-464BCCFA6183}">
  <dimension ref="A1:B2"/>
  <sheetViews>
    <sheetView workbookViewId="0">
      <selection activeCell="B2" sqref="B2"/>
    </sheetView>
  </sheetViews>
  <sheetFormatPr baseColWidth="10" defaultColWidth="8.83203125" defaultRowHeight="15" x14ac:dyDescent="0.2"/>
  <cols>
    <col min="1" max="1" width="38" style="5" customWidth="1"/>
    <col min="2" max="2" width="20" style="5" customWidth="1"/>
    <col min="3" max="16384" width="8.83203125" style="5"/>
  </cols>
  <sheetData>
    <row r="1" spans="1:2" x14ac:dyDescent="0.2">
      <c r="A1" s="7" t="s">
        <v>85</v>
      </c>
      <c r="B1" s="7" t="s">
        <v>86</v>
      </c>
    </row>
    <row r="2" spans="1:2" x14ac:dyDescent="0.2">
      <c r="A2" s="8" t="s">
        <v>87</v>
      </c>
      <c r="B2" s="33">
        <v>3500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4567D-6702-1945-99D8-2FF8FBF16834}">
  <dimension ref="A1:N23"/>
  <sheetViews>
    <sheetView showGridLines="0" zoomScale="125" workbookViewId="0">
      <selection activeCell="C23" sqref="C23"/>
    </sheetView>
  </sheetViews>
  <sheetFormatPr baseColWidth="10" defaultRowHeight="16" x14ac:dyDescent="0.2"/>
  <cols>
    <col min="1" max="1" width="64.1640625" bestFit="1" customWidth="1"/>
    <col min="2" max="2" width="17.33203125" customWidth="1"/>
    <col min="3" max="3" width="12.5" customWidth="1"/>
    <col min="4" max="4" width="85.1640625" bestFit="1" customWidth="1"/>
    <col min="12" max="12" width="64.1640625" bestFit="1" customWidth="1"/>
    <col min="13" max="13" width="16.5" bestFit="1" customWidth="1"/>
    <col min="14" max="14" width="20.5" bestFit="1" customWidth="1"/>
  </cols>
  <sheetData>
    <row r="1" spans="1:14" x14ac:dyDescent="0.2">
      <c r="A1" s="1" t="s">
        <v>0</v>
      </c>
      <c r="B1" s="1" t="s">
        <v>5</v>
      </c>
      <c r="C1" s="1" t="s">
        <v>6</v>
      </c>
      <c r="D1" s="1" t="s">
        <v>7</v>
      </c>
    </row>
    <row r="2" spans="1:14" x14ac:dyDescent="0.2">
      <c r="A2" t="s">
        <v>89</v>
      </c>
      <c r="B2" t="s">
        <v>1</v>
      </c>
      <c r="C2" t="s">
        <v>4</v>
      </c>
      <c r="D2" t="s">
        <v>94</v>
      </c>
      <c r="L2" s="1"/>
      <c r="M2" s="1"/>
      <c r="N2" s="1"/>
    </row>
    <row r="3" spans="1:14" x14ac:dyDescent="0.2">
      <c r="A3" t="s">
        <v>20</v>
      </c>
      <c r="B3" t="s">
        <v>1</v>
      </c>
      <c r="C3" t="s">
        <v>2</v>
      </c>
      <c r="D3" t="s">
        <v>21</v>
      </c>
    </row>
    <row r="4" spans="1:14" x14ac:dyDescent="0.2">
      <c r="A4" t="s">
        <v>88</v>
      </c>
      <c r="B4" t="s">
        <v>1</v>
      </c>
      <c r="C4" t="s">
        <v>4</v>
      </c>
      <c r="D4" t="s">
        <v>95</v>
      </c>
    </row>
    <row r="5" spans="1:14" x14ac:dyDescent="0.2">
      <c r="A5" t="s">
        <v>38</v>
      </c>
      <c r="B5" t="s">
        <v>3</v>
      </c>
      <c r="C5" t="s">
        <v>4</v>
      </c>
      <c r="D5" t="s">
        <v>39</v>
      </c>
    </row>
    <row r="6" spans="1:14" x14ac:dyDescent="0.2">
      <c r="A6" t="s">
        <v>91</v>
      </c>
      <c r="B6" t="s">
        <v>1</v>
      </c>
      <c r="C6" t="s">
        <v>4</v>
      </c>
      <c r="D6" t="s">
        <v>96</v>
      </c>
    </row>
    <row r="7" spans="1:14" x14ac:dyDescent="0.2">
      <c r="A7" t="s">
        <v>93</v>
      </c>
      <c r="B7" t="s">
        <v>1</v>
      </c>
      <c r="C7" t="s">
        <v>4</v>
      </c>
      <c r="D7" t="s">
        <v>97</v>
      </c>
    </row>
    <row r="8" spans="1:14" x14ac:dyDescent="0.2">
      <c r="A8" t="s">
        <v>40</v>
      </c>
      <c r="B8" t="s">
        <v>3</v>
      </c>
      <c r="C8" t="s">
        <v>4</v>
      </c>
      <c r="D8" t="s">
        <v>41</v>
      </c>
    </row>
    <row r="9" spans="1:14" x14ac:dyDescent="0.2">
      <c r="A9" t="s">
        <v>10</v>
      </c>
      <c r="B9" t="s">
        <v>3</v>
      </c>
      <c r="C9" t="s">
        <v>2</v>
      </c>
      <c r="D9" t="s">
        <v>11</v>
      </c>
    </row>
    <row r="10" spans="1:14" x14ac:dyDescent="0.2">
      <c r="A10" t="s">
        <v>34</v>
      </c>
      <c r="B10" t="s">
        <v>3</v>
      </c>
      <c r="C10" t="s">
        <v>4</v>
      </c>
      <c r="D10" t="s">
        <v>35</v>
      </c>
    </row>
    <row r="11" spans="1:14" x14ac:dyDescent="0.2">
      <c r="A11" t="s">
        <v>16</v>
      </c>
      <c r="B11" t="s">
        <v>3</v>
      </c>
      <c r="C11" t="s">
        <v>2</v>
      </c>
      <c r="D11" t="s">
        <v>17</v>
      </c>
    </row>
    <row r="12" spans="1:14" x14ac:dyDescent="0.2">
      <c r="A12" t="s">
        <v>14</v>
      </c>
      <c r="B12" t="s">
        <v>3</v>
      </c>
      <c r="C12" t="s">
        <v>4</v>
      </c>
      <c r="D12" t="s">
        <v>15</v>
      </c>
    </row>
    <row r="13" spans="1:14" x14ac:dyDescent="0.2">
      <c r="A13" t="s">
        <v>32</v>
      </c>
      <c r="B13" t="s">
        <v>3</v>
      </c>
      <c r="C13" t="s">
        <v>4</v>
      </c>
      <c r="D13" t="s">
        <v>33</v>
      </c>
    </row>
    <row r="14" spans="1:14" x14ac:dyDescent="0.2">
      <c r="A14" t="s">
        <v>12</v>
      </c>
      <c r="B14" t="s">
        <v>1</v>
      </c>
      <c r="C14" t="s">
        <v>2</v>
      </c>
      <c r="D14" t="s">
        <v>13</v>
      </c>
    </row>
    <row r="15" spans="1:14" x14ac:dyDescent="0.2">
      <c r="A15" t="s">
        <v>18</v>
      </c>
      <c r="B15" t="s">
        <v>3</v>
      </c>
      <c r="C15" t="s">
        <v>2</v>
      </c>
      <c r="D15" t="s">
        <v>19</v>
      </c>
    </row>
    <row r="16" spans="1:14" x14ac:dyDescent="0.2">
      <c r="A16" t="s">
        <v>90</v>
      </c>
      <c r="B16" t="s">
        <v>1</v>
      </c>
      <c r="C16" t="s">
        <v>4</v>
      </c>
      <c r="D16" t="s">
        <v>98</v>
      </c>
    </row>
    <row r="17" spans="1:4" x14ac:dyDescent="0.2">
      <c r="A17" t="s">
        <v>8</v>
      </c>
      <c r="B17" t="s">
        <v>1</v>
      </c>
      <c r="C17" t="s">
        <v>2</v>
      </c>
      <c r="D17" t="s">
        <v>9</v>
      </c>
    </row>
    <row r="18" spans="1:4" x14ac:dyDescent="0.2">
      <c r="A18" t="s">
        <v>22</v>
      </c>
      <c r="B18" t="s">
        <v>1</v>
      </c>
      <c r="C18" t="s">
        <v>2</v>
      </c>
      <c r="D18" t="s">
        <v>23</v>
      </c>
    </row>
    <row r="19" spans="1:4" x14ac:dyDescent="0.2">
      <c r="A19" t="s">
        <v>26</v>
      </c>
      <c r="B19" t="s">
        <v>3</v>
      </c>
      <c r="C19" t="s">
        <v>4</v>
      </c>
      <c r="D19" t="s">
        <v>27</v>
      </c>
    </row>
    <row r="20" spans="1:4" x14ac:dyDescent="0.2">
      <c r="A20" t="s">
        <v>36</v>
      </c>
      <c r="B20" t="s">
        <v>3</v>
      </c>
      <c r="C20" t="s">
        <v>4</v>
      </c>
      <c r="D20" t="s">
        <v>37</v>
      </c>
    </row>
    <row r="21" spans="1:4" x14ac:dyDescent="0.2">
      <c r="A21" t="s">
        <v>30</v>
      </c>
      <c r="B21" t="s">
        <v>3</v>
      </c>
      <c r="C21" t="s">
        <v>4</v>
      </c>
      <c r="D21" t="s">
        <v>31</v>
      </c>
    </row>
    <row r="22" spans="1:4" x14ac:dyDescent="0.2">
      <c r="A22" t="s">
        <v>24</v>
      </c>
      <c r="B22" t="s">
        <v>1</v>
      </c>
      <c r="C22" t="s">
        <v>2</v>
      </c>
      <c r="D22" t="s">
        <v>25</v>
      </c>
    </row>
    <row r="23" spans="1:4" x14ac:dyDescent="0.2">
      <c r="A23" t="s">
        <v>28</v>
      </c>
      <c r="B23" t="s">
        <v>3</v>
      </c>
      <c r="C23" t="s">
        <v>4</v>
      </c>
      <c r="D23" t="s">
        <v>29</v>
      </c>
    </row>
  </sheetData>
  <sortState xmlns:xlrd2="http://schemas.microsoft.com/office/spreadsheetml/2017/richdata2" ref="A2:D22">
    <sortCondition ref="A2:A22"/>
  </sortState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17E23-0BC6-284F-95D7-B5E7492AC2F0}">
  <dimension ref="A1:G13"/>
  <sheetViews>
    <sheetView workbookViewId="0">
      <selection activeCell="E1" sqref="E1:G13"/>
    </sheetView>
  </sheetViews>
  <sheetFormatPr baseColWidth="10" defaultRowHeight="16" x14ac:dyDescent="0.2"/>
  <cols>
    <col min="2" max="2" width="22.5" customWidth="1"/>
    <col min="3" max="3" width="23.1640625" customWidth="1"/>
    <col min="4" max="4" width="26.83203125" customWidth="1"/>
    <col min="5" max="5" width="27.1640625" customWidth="1"/>
    <col min="6" max="6" width="23.6640625" customWidth="1"/>
    <col min="7" max="7" width="21.1640625" customWidth="1"/>
  </cols>
  <sheetData>
    <row r="1" spans="1:7" x14ac:dyDescent="0.2">
      <c r="A1" s="24" t="s">
        <v>99</v>
      </c>
      <c r="B1" s="24" t="s">
        <v>128</v>
      </c>
      <c r="C1" s="24" t="s">
        <v>129</v>
      </c>
      <c r="D1" s="24" t="s">
        <v>130</v>
      </c>
      <c r="E1" s="24" t="s">
        <v>131</v>
      </c>
      <c r="F1" s="24" t="s">
        <v>132</v>
      </c>
      <c r="G1" s="24" t="s">
        <v>133</v>
      </c>
    </row>
    <row r="2" spans="1:7" x14ac:dyDescent="0.2">
      <c r="A2" s="4" t="s">
        <v>104</v>
      </c>
      <c r="B2" s="28">
        <v>52000</v>
      </c>
      <c r="C2" s="28">
        <v>26000</v>
      </c>
      <c r="D2" s="28">
        <v>7000</v>
      </c>
      <c r="E2" s="28">
        <v>26000</v>
      </c>
      <c r="F2" s="28">
        <v>19000</v>
      </c>
      <c r="G2" s="29">
        <v>0.36499999999999999</v>
      </c>
    </row>
    <row r="3" spans="1:7" x14ac:dyDescent="0.2">
      <c r="A3" t="s">
        <v>107</v>
      </c>
      <c r="B3" s="30">
        <v>84000</v>
      </c>
      <c r="C3" s="30">
        <v>40000</v>
      </c>
      <c r="D3" s="30">
        <v>6500</v>
      </c>
      <c r="E3" s="30">
        <v>44000</v>
      </c>
      <c r="F3" s="30">
        <v>37500</v>
      </c>
      <c r="G3" s="25">
        <v>0.44600000000000001</v>
      </c>
    </row>
    <row r="4" spans="1:7" x14ac:dyDescent="0.2">
      <c r="A4" s="2" t="s">
        <v>109</v>
      </c>
      <c r="B4" s="31">
        <v>118000</v>
      </c>
      <c r="C4" s="31">
        <v>58000</v>
      </c>
      <c r="D4" s="31">
        <v>6000</v>
      </c>
      <c r="E4" s="31">
        <v>60000</v>
      </c>
      <c r="F4" s="31">
        <v>54000</v>
      </c>
      <c r="G4" s="26">
        <v>0.45800000000000002</v>
      </c>
    </row>
    <row r="5" spans="1:7" x14ac:dyDescent="0.2">
      <c r="A5" t="s">
        <v>111</v>
      </c>
      <c r="B5" s="30">
        <v>102000</v>
      </c>
      <c r="C5" s="30">
        <v>52000</v>
      </c>
      <c r="D5" s="30">
        <v>5500</v>
      </c>
      <c r="E5" s="30">
        <v>50000</v>
      </c>
      <c r="F5" s="30">
        <v>44500</v>
      </c>
      <c r="G5" s="25">
        <v>0.436</v>
      </c>
    </row>
    <row r="6" spans="1:7" x14ac:dyDescent="0.2">
      <c r="A6" s="2" t="s">
        <v>113</v>
      </c>
      <c r="B6" s="31">
        <v>230000</v>
      </c>
      <c r="C6" s="31">
        <v>118000</v>
      </c>
      <c r="D6" s="31">
        <v>7500</v>
      </c>
      <c r="E6" s="31">
        <v>112000</v>
      </c>
      <c r="F6" s="31">
        <v>104500</v>
      </c>
      <c r="G6" s="26">
        <v>0.45400000000000001</v>
      </c>
    </row>
    <row r="7" spans="1:7" x14ac:dyDescent="0.2">
      <c r="A7" t="s">
        <v>115</v>
      </c>
      <c r="B7" s="30">
        <v>260000</v>
      </c>
      <c r="C7" s="30">
        <v>126000</v>
      </c>
      <c r="D7" s="30">
        <v>8000</v>
      </c>
      <c r="E7" s="30">
        <v>134000</v>
      </c>
      <c r="F7" s="30">
        <v>126000</v>
      </c>
      <c r="G7" s="25">
        <v>0.48499999999999999</v>
      </c>
    </row>
    <row r="8" spans="1:7" x14ac:dyDescent="0.2">
      <c r="A8" s="2" t="s">
        <v>117</v>
      </c>
      <c r="B8" s="31">
        <v>225000</v>
      </c>
      <c r="C8" s="31">
        <v>112000</v>
      </c>
      <c r="D8" s="31">
        <v>8000</v>
      </c>
      <c r="E8" s="31">
        <v>113000</v>
      </c>
      <c r="F8" s="31">
        <v>105000</v>
      </c>
      <c r="G8" s="26">
        <v>0.46700000000000003</v>
      </c>
    </row>
    <row r="9" spans="1:7" x14ac:dyDescent="0.2">
      <c r="A9" t="s">
        <v>119</v>
      </c>
      <c r="B9" s="30">
        <v>290000</v>
      </c>
      <c r="C9" s="30">
        <v>142000</v>
      </c>
      <c r="D9" s="30">
        <v>8500</v>
      </c>
      <c r="E9" s="30">
        <v>148000</v>
      </c>
      <c r="F9" s="30">
        <v>139500</v>
      </c>
      <c r="G9" s="25">
        <v>0.48099999999999998</v>
      </c>
    </row>
    <row r="10" spans="1:7" x14ac:dyDescent="0.2">
      <c r="A10" s="2" t="s">
        <v>121</v>
      </c>
      <c r="B10" s="31">
        <v>245000</v>
      </c>
      <c r="C10" s="31">
        <v>120000</v>
      </c>
      <c r="D10" s="31">
        <v>8000</v>
      </c>
      <c r="E10" s="31">
        <v>125000</v>
      </c>
      <c r="F10" s="31">
        <v>117000</v>
      </c>
      <c r="G10" s="26">
        <v>0.47799999999999998</v>
      </c>
    </row>
    <row r="11" spans="1:7" x14ac:dyDescent="0.2">
      <c r="A11" t="s">
        <v>123</v>
      </c>
      <c r="B11" s="30">
        <v>315000</v>
      </c>
      <c r="C11" s="30">
        <v>153000</v>
      </c>
      <c r="D11" s="30">
        <v>9000</v>
      </c>
      <c r="E11" s="30">
        <v>162000</v>
      </c>
      <c r="F11" s="30">
        <v>153000</v>
      </c>
      <c r="G11" s="25">
        <v>0.48599999999999999</v>
      </c>
    </row>
    <row r="12" spans="1:7" x14ac:dyDescent="0.2">
      <c r="A12" s="2" t="s">
        <v>125</v>
      </c>
      <c r="B12" s="31">
        <v>342000</v>
      </c>
      <c r="C12" s="31">
        <v>167000</v>
      </c>
      <c r="D12" s="31">
        <v>175000</v>
      </c>
      <c r="E12" s="31">
        <v>166000</v>
      </c>
      <c r="F12" s="26">
        <v>0.48499999999999999</v>
      </c>
      <c r="G12" s="2"/>
    </row>
    <row r="13" spans="1:7" x14ac:dyDescent="0.2">
      <c r="A13" s="3" t="s">
        <v>127</v>
      </c>
      <c r="B13" s="32">
        <v>465000</v>
      </c>
      <c r="C13" s="32">
        <v>228000</v>
      </c>
      <c r="D13" s="32">
        <v>10000</v>
      </c>
      <c r="E13" s="32">
        <v>237000</v>
      </c>
      <c r="F13" s="32">
        <v>227000</v>
      </c>
      <c r="G13" s="27">
        <v>0.48799999999999999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5807A-B770-0C4E-8469-DF56CB02460E}">
  <dimension ref="A1:F13"/>
  <sheetViews>
    <sheetView workbookViewId="0">
      <selection activeCell="B2" sqref="B2:B13"/>
    </sheetView>
  </sheetViews>
  <sheetFormatPr baseColWidth="10" defaultRowHeight="16" x14ac:dyDescent="0.2"/>
  <cols>
    <col min="2" max="2" width="23.83203125" customWidth="1"/>
    <col min="3" max="3" width="22" customWidth="1"/>
    <col min="4" max="4" width="27.33203125" customWidth="1"/>
    <col min="5" max="5" width="23" customWidth="1"/>
    <col min="6" max="6" width="36.33203125" bestFit="1" customWidth="1"/>
  </cols>
  <sheetData>
    <row r="1" spans="1:6" x14ac:dyDescent="0.2">
      <c r="A1" s="24" t="s">
        <v>99</v>
      </c>
      <c r="B1" s="24" t="s">
        <v>100</v>
      </c>
      <c r="C1" s="24" t="s">
        <v>101</v>
      </c>
      <c r="D1" s="24" t="s">
        <v>102</v>
      </c>
      <c r="E1" s="24" t="s">
        <v>135</v>
      </c>
      <c r="F1" s="24" t="s">
        <v>103</v>
      </c>
    </row>
    <row r="2" spans="1:6" x14ac:dyDescent="0.2">
      <c r="A2" s="4" t="s">
        <v>104</v>
      </c>
      <c r="B2" s="4">
        <v>150</v>
      </c>
      <c r="C2" s="4" t="s">
        <v>105</v>
      </c>
      <c r="D2" s="4">
        <v>5</v>
      </c>
      <c r="E2" s="4" t="s">
        <v>105</v>
      </c>
      <c r="F2" s="4" t="s">
        <v>106</v>
      </c>
    </row>
    <row r="3" spans="1:6" x14ac:dyDescent="0.2">
      <c r="A3" t="s">
        <v>107</v>
      </c>
      <c r="B3">
        <v>125</v>
      </c>
      <c r="C3" s="25">
        <v>-0.16700000000000001</v>
      </c>
      <c r="D3">
        <v>12</v>
      </c>
      <c r="E3" s="25">
        <v>1.4</v>
      </c>
      <c r="F3" t="s">
        <v>108</v>
      </c>
    </row>
    <row r="4" spans="1:6" x14ac:dyDescent="0.2">
      <c r="A4" s="2" t="s">
        <v>109</v>
      </c>
      <c r="B4" s="2">
        <v>132</v>
      </c>
      <c r="C4" s="26">
        <v>5.6000000000000001E-2</v>
      </c>
      <c r="D4" s="2">
        <v>22</v>
      </c>
      <c r="E4" s="26">
        <v>0.83299999999999996</v>
      </c>
      <c r="F4" s="2" t="s">
        <v>110</v>
      </c>
    </row>
    <row r="5" spans="1:6" x14ac:dyDescent="0.2">
      <c r="A5" t="s">
        <v>111</v>
      </c>
      <c r="B5">
        <v>147</v>
      </c>
      <c r="C5" s="25">
        <v>0.114</v>
      </c>
      <c r="D5">
        <v>19</v>
      </c>
      <c r="E5" s="25">
        <v>-0.13600000000000001</v>
      </c>
      <c r="F5" t="s">
        <v>112</v>
      </c>
    </row>
    <row r="6" spans="1:6" x14ac:dyDescent="0.2">
      <c r="A6" s="2" t="s">
        <v>113</v>
      </c>
      <c r="B6" s="2">
        <v>163</v>
      </c>
      <c r="C6" s="26">
        <v>0.109</v>
      </c>
      <c r="D6" s="2">
        <v>25</v>
      </c>
      <c r="E6" s="26">
        <v>0.316</v>
      </c>
      <c r="F6" s="2" t="s">
        <v>114</v>
      </c>
    </row>
    <row r="7" spans="1:6" x14ac:dyDescent="0.2">
      <c r="A7" t="s">
        <v>115</v>
      </c>
      <c r="B7">
        <v>184</v>
      </c>
      <c r="C7" s="25">
        <v>0.129</v>
      </c>
      <c r="D7">
        <v>38</v>
      </c>
      <c r="E7" s="25">
        <v>0.52</v>
      </c>
      <c r="F7" t="s">
        <v>116</v>
      </c>
    </row>
    <row r="8" spans="1:6" x14ac:dyDescent="0.2">
      <c r="A8" s="2" t="s">
        <v>117</v>
      </c>
      <c r="B8" s="2">
        <v>172</v>
      </c>
      <c r="C8" s="26">
        <v>-6.5000000000000002E-2</v>
      </c>
      <c r="D8" s="2">
        <v>34</v>
      </c>
      <c r="E8" s="26">
        <v>-0.105</v>
      </c>
      <c r="F8" s="2" t="s">
        <v>118</v>
      </c>
    </row>
    <row r="9" spans="1:6" x14ac:dyDescent="0.2">
      <c r="A9" t="s">
        <v>119</v>
      </c>
      <c r="B9">
        <v>179</v>
      </c>
      <c r="C9" s="25">
        <v>4.1000000000000002E-2</v>
      </c>
      <c r="D9">
        <v>39</v>
      </c>
      <c r="E9" s="25">
        <v>0.14699999999999999</v>
      </c>
      <c r="F9" t="s">
        <v>120</v>
      </c>
    </row>
    <row r="10" spans="1:6" x14ac:dyDescent="0.2">
      <c r="A10" s="2" t="s">
        <v>121</v>
      </c>
      <c r="B10" s="2">
        <v>181</v>
      </c>
      <c r="C10" s="26">
        <v>1.0999999999999999E-2</v>
      </c>
      <c r="D10" s="2">
        <v>27</v>
      </c>
      <c r="E10" s="26">
        <v>-0.308</v>
      </c>
      <c r="F10" s="2" t="s">
        <v>122</v>
      </c>
    </row>
    <row r="11" spans="1:6" x14ac:dyDescent="0.2">
      <c r="A11" t="s">
        <v>123</v>
      </c>
      <c r="B11">
        <v>189</v>
      </c>
      <c r="C11" s="25">
        <v>4.3999999999999997E-2</v>
      </c>
      <c r="D11">
        <v>42</v>
      </c>
      <c r="E11" s="25">
        <v>0.55600000000000005</v>
      </c>
      <c r="F11" t="s">
        <v>124</v>
      </c>
    </row>
    <row r="12" spans="1:6" x14ac:dyDescent="0.2">
      <c r="A12" s="2" t="s">
        <v>125</v>
      </c>
      <c r="B12" s="2">
        <v>186</v>
      </c>
      <c r="C12" s="26">
        <v>-1.6E-2</v>
      </c>
      <c r="D12" s="2">
        <v>58</v>
      </c>
      <c r="E12" s="26">
        <v>0.38100000000000001</v>
      </c>
      <c r="F12" s="2" t="s">
        <v>126</v>
      </c>
    </row>
    <row r="13" spans="1:6" x14ac:dyDescent="0.2">
      <c r="A13" s="3" t="s">
        <v>127</v>
      </c>
      <c r="B13" s="3">
        <v>191</v>
      </c>
      <c r="C13" s="27">
        <v>2.7E-2</v>
      </c>
      <c r="D13" s="3">
        <v>61</v>
      </c>
      <c r="E13" s="3"/>
      <c r="F13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913C-2490-C64A-8040-6CA182FA0ABE}">
  <dimension ref="A1:E23"/>
  <sheetViews>
    <sheetView showGridLines="0" topLeftCell="B1" workbookViewId="0">
      <selection activeCell="C12" sqref="C12"/>
    </sheetView>
  </sheetViews>
  <sheetFormatPr baseColWidth="10" defaultRowHeight="16" x14ac:dyDescent="0.2"/>
  <cols>
    <col min="1" max="1" width="23.33203125" bestFit="1" customWidth="1"/>
    <col min="2" max="2" width="65.5" bestFit="1" customWidth="1"/>
    <col min="3" max="3" width="19.5" customWidth="1"/>
    <col min="4" max="4" width="18.1640625" customWidth="1"/>
  </cols>
  <sheetData>
    <row r="1" spans="1:5" x14ac:dyDescent="0.2">
      <c r="A1" s="6" t="s">
        <v>42</v>
      </c>
      <c r="B1" s="6" t="s">
        <v>0</v>
      </c>
      <c r="C1" s="6" t="s">
        <v>43</v>
      </c>
      <c r="D1" s="6" t="s">
        <v>44</v>
      </c>
    </row>
    <row r="2" spans="1:5" x14ac:dyDescent="0.2">
      <c r="A2" s="4" t="s">
        <v>45</v>
      </c>
      <c r="B2" s="4" t="s">
        <v>8</v>
      </c>
      <c r="C2" s="4">
        <v>400</v>
      </c>
      <c r="D2" s="4" t="s">
        <v>46</v>
      </c>
    </row>
    <row r="3" spans="1:5" x14ac:dyDescent="0.2">
      <c r="A3" t="s">
        <v>45</v>
      </c>
      <c r="B3" t="s">
        <v>12</v>
      </c>
      <c r="C3">
        <v>30</v>
      </c>
      <c r="D3" t="s">
        <v>46</v>
      </c>
    </row>
    <row r="4" spans="1:5" x14ac:dyDescent="0.2">
      <c r="A4" s="2" t="s">
        <v>45</v>
      </c>
      <c r="B4" s="2" t="s">
        <v>20</v>
      </c>
      <c r="C4" s="2">
        <v>25</v>
      </c>
      <c r="D4" s="2" t="s">
        <v>46</v>
      </c>
      <c r="E4" s="2"/>
    </row>
    <row r="5" spans="1:5" x14ac:dyDescent="0.2">
      <c r="A5" t="s">
        <v>45</v>
      </c>
      <c r="B5" t="s">
        <v>22</v>
      </c>
      <c r="C5">
        <v>50</v>
      </c>
      <c r="D5" t="s">
        <v>46</v>
      </c>
    </row>
    <row r="6" spans="1:5" x14ac:dyDescent="0.2">
      <c r="A6" s="2" t="s">
        <v>45</v>
      </c>
      <c r="B6" s="2" t="s">
        <v>24</v>
      </c>
      <c r="C6" s="2">
        <v>50</v>
      </c>
      <c r="D6" s="2" t="s">
        <v>46</v>
      </c>
    </row>
    <row r="7" spans="1:5" x14ac:dyDescent="0.2">
      <c r="A7" t="s">
        <v>92</v>
      </c>
      <c r="B7" t="s">
        <v>88</v>
      </c>
      <c r="C7">
        <v>800</v>
      </c>
      <c r="D7" t="s">
        <v>46</v>
      </c>
    </row>
    <row r="8" spans="1:5" x14ac:dyDescent="0.2">
      <c r="A8" s="2" t="s">
        <v>92</v>
      </c>
      <c r="B8" s="2" t="s">
        <v>89</v>
      </c>
      <c r="C8" s="2">
        <v>500</v>
      </c>
      <c r="D8" s="2" t="s">
        <v>46</v>
      </c>
    </row>
    <row r="9" spans="1:5" x14ac:dyDescent="0.2">
      <c r="A9" t="s">
        <v>92</v>
      </c>
      <c r="B9" t="s">
        <v>90</v>
      </c>
      <c r="C9">
        <v>900</v>
      </c>
      <c r="D9" t="s">
        <v>46</v>
      </c>
    </row>
    <row r="10" spans="1:5" x14ac:dyDescent="0.2">
      <c r="A10" s="2" t="s">
        <v>92</v>
      </c>
      <c r="B10" s="2" t="s">
        <v>91</v>
      </c>
      <c r="C10" s="2">
        <v>600</v>
      </c>
      <c r="D10" s="2" t="s">
        <v>46</v>
      </c>
    </row>
    <row r="11" spans="1:5" x14ac:dyDescent="0.2">
      <c r="A11" t="s">
        <v>92</v>
      </c>
      <c r="B11" t="s">
        <v>93</v>
      </c>
      <c r="C11">
        <v>70</v>
      </c>
      <c r="D11" t="s">
        <v>46</v>
      </c>
    </row>
    <row r="12" spans="1:5" x14ac:dyDescent="0.2">
      <c r="A12" s="2" t="s">
        <v>47</v>
      </c>
      <c r="B12" s="2" t="s">
        <v>10</v>
      </c>
      <c r="C12" s="2">
        <v>20000</v>
      </c>
      <c r="D12" s="2" t="s">
        <v>46</v>
      </c>
    </row>
    <row r="13" spans="1:5" x14ac:dyDescent="0.2">
      <c r="A13" t="s">
        <v>47</v>
      </c>
      <c r="B13" t="s">
        <v>14</v>
      </c>
      <c r="C13">
        <v>3000</v>
      </c>
      <c r="D13" t="s">
        <v>48</v>
      </c>
    </row>
    <row r="14" spans="1:5" x14ac:dyDescent="0.2">
      <c r="A14" s="2" t="s">
        <v>47</v>
      </c>
      <c r="B14" s="2" t="s">
        <v>16</v>
      </c>
      <c r="C14" s="2">
        <v>2000</v>
      </c>
      <c r="D14" s="2" t="s">
        <v>48</v>
      </c>
    </row>
    <row r="15" spans="1:5" x14ac:dyDescent="0.2">
      <c r="A15" t="s">
        <v>47</v>
      </c>
      <c r="B15" t="s">
        <v>18</v>
      </c>
      <c r="C15">
        <v>8000</v>
      </c>
      <c r="D15" t="s">
        <v>48</v>
      </c>
    </row>
    <row r="16" spans="1:5" x14ac:dyDescent="0.2">
      <c r="A16" s="2" t="s">
        <v>49</v>
      </c>
      <c r="B16" s="2" t="s">
        <v>26</v>
      </c>
      <c r="C16" s="2">
        <v>10000</v>
      </c>
      <c r="D16" s="2" t="s">
        <v>50</v>
      </c>
    </row>
    <row r="17" spans="1:4" x14ac:dyDescent="0.2">
      <c r="A17" t="s">
        <v>49</v>
      </c>
      <c r="B17" t="s">
        <v>28</v>
      </c>
      <c r="C17">
        <v>12000</v>
      </c>
      <c r="D17" t="s">
        <v>50</v>
      </c>
    </row>
    <row r="18" spans="1:4" x14ac:dyDescent="0.2">
      <c r="A18" s="2" t="s">
        <v>49</v>
      </c>
      <c r="B18" s="2" t="s">
        <v>30</v>
      </c>
      <c r="C18" s="2">
        <v>3000</v>
      </c>
      <c r="D18" s="2" t="s">
        <v>50</v>
      </c>
    </row>
    <row r="19" spans="1:4" x14ac:dyDescent="0.2">
      <c r="A19" t="s">
        <v>49</v>
      </c>
      <c r="B19" t="s">
        <v>32</v>
      </c>
      <c r="C19">
        <v>2000</v>
      </c>
      <c r="D19" t="s">
        <v>50</v>
      </c>
    </row>
    <row r="20" spans="1:4" x14ac:dyDescent="0.2">
      <c r="A20" s="2" t="s">
        <v>49</v>
      </c>
      <c r="B20" s="2" t="s">
        <v>34</v>
      </c>
      <c r="C20" s="2">
        <v>1000</v>
      </c>
      <c r="D20" s="2" t="s">
        <v>50</v>
      </c>
    </row>
    <row r="21" spans="1:4" x14ac:dyDescent="0.2">
      <c r="A21" t="s">
        <v>49</v>
      </c>
      <c r="B21" t="s">
        <v>36</v>
      </c>
      <c r="C21">
        <v>800</v>
      </c>
      <c r="D21" t="s">
        <v>50</v>
      </c>
    </row>
    <row r="22" spans="1:4" x14ac:dyDescent="0.2">
      <c r="A22" s="2" t="s">
        <v>49</v>
      </c>
      <c r="B22" s="2" t="s">
        <v>38</v>
      </c>
      <c r="C22" s="2">
        <v>2500</v>
      </c>
      <c r="D22" s="2" t="s">
        <v>50</v>
      </c>
    </row>
    <row r="23" spans="1:4" x14ac:dyDescent="0.2">
      <c r="A23" s="3" t="s">
        <v>49</v>
      </c>
      <c r="B23" s="3" t="s">
        <v>40</v>
      </c>
      <c r="C23" s="3">
        <v>900</v>
      </c>
      <c r="D23" s="3" t="s">
        <v>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73D70-19B3-B948-8938-6D683D12AB9B}">
  <dimension ref="B11:N54"/>
  <sheetViews>
    <sheetView showGridLines="0" topLeftCell="B28" zoomScale="125" workbookViewId="0">
      <selection activeCell="C36" sqref="C36"/>
    </sheetView>
  </sheetViews>
  <sheetFormatPr baseColWidth="10" defaultRowHeight="13" x14ac:dyDescent="0.15"/>
  <cols>
    <col min="1" max="1" width="10.83203125" style="9"/>
    <col min="2" max="2" width="38.5" style="9" bestFit="1" customWidth="1"/>
    <col min="3" max="3" width="11.83203125" style="9" bestFit="1" customWidth="1"/>
    <col min="4" max="4" width="19" style="9" bestFit="1" customWidth="1"/>
    <col min="5" max="5" width="18.5" style="9" bestFit="1" customWidth="1"/>
    <col min="6" max="16384" width="10.83203125" style="9"/>
  </cols>
  <sheetData>
    <row r="11" spans="2:14" x14ac:dyDescent="0.15">
      <c r="B11" s="41" t="s">
        <v>134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</row>
    <row r="12" spans="2:14" x14ac:dyDescent="0.15">
      <c r="C12" s="10" t="s">
        <v>51</v>
      </c>
      <c r="D12" s="10" t="s">
        <v>52</v>
      </c>
      <c r="E12" s="10" t="s">
        <v>53</v>
      </c>
      <c r="F12" s="10" t="s">
        <v>54</v>
      </c>
      <c r="G12" s="10" t="s">
        <v>55</v>
      </c>
      <c r="H12" s="10" t="s">
        <v>56</v>
      </c>
      <c r="I12" s="10" t="s">
        <v>57</v>
      </c>
      <c r="J12" s="10" t="s">
        <v>58</v>
      </c>
      <c r="K12" s="10" t="s">
        <v>59</v>
      </c>
      <c r="L12" s="10" t="s">
        <v>60</v>
      </c>
      <c r="M12" s="10" t="s">
        <v>61</v>
      </c>
      <c r="N12" s="10" t="s">
        <v>62</v>
      </c>
    </row>
    <row r="13" spans="2:14" x14ac:dyDescent="0.15">
      <c r="B13" s="11" t="s">
        <v>63</v>
      </c>
      <c r="C13" s="19" cm="1">
        <f t="array" ref="C13:N13">+TRANSPOSE(Clientes!B2:B13)</f>
        <v>150</v>
      </c>
      <c r="D13" s="19">
        <v>125</v>
      </c>
      <c r="E13" s="19">
        <v>132</v>
      </c>
      <c r="F13" s="19">
        <v>147</v>
      </c>
      <c r="G13" s="19">
        <v>163</v>
      </c>
      <c r="H13" s="19">
        <v>184</v>
      </c>
      <c r="I13" s="19">
        <v>172</v>
      </c>
      <c r="J13" s="19">
        <v>179</v>
      </c>
      <c r="K13" s="19">
        <v>181</v>
      </c>
      <c r="L13" s="19">
        <v>189</v>
      </c>
      <c r="M13" s="19">
        <v>186</v>
      </c>
      <c r="N13" s="19">
        <v>191</v>
      </c>
    </row>
    <row r="14" spans="2:14" x14ac:dyDescent="0.15">
      <c r="B14" s="11" t="s">
        <v>64</v>
      </c>
      <c r="C14" s="19" cm="1">
        <f t="array" ref="C14:N14">+TRANSPOSE(Clientes!D2:D13)</f>
        <v>5</v>
      </c>
      <c r="D14" s="19">
        <v>12</v>
      </c>
      <c r="E14" s="19">
        <v>22</v>
      </c>
      <c r="F14" s="19">
        <v>19</v>
      </c>
      <c r="G14" s="19">
        <v>25</v>
      </c>
      <c r="H14" s="19">
        <v>38</v>
      </c>
      <c r="I14" s="19">
        <v>34</v>
      </c>
      <c r="J14" s="19">
        <v>39</v>
      </c>
      <c r="K14" s="19">
        <v>27</v>
      </c>
      <c r="L14" s="19">
        <v>42</v>
      </c>
      <c r="M14" s="19">
        <v>58</v>
      </c>
      <c r="N14" s="19">
        <v>61</v>
      </c>
    </row>
    <row r="15" spans="2:14" x14ac:dyDescent="0.15">
      <c r="B15" s="11" t="s">
        <v>65</v>
      </c>
      <c r="C15" s="20">
        <f>+parámetros!$B$2</f>
        <v>3500</v>
      </c>
      <c r="D15" s="20">
        <f>+parámetros!$B$2</f>
        <v>3500</v>
      </c>
      <c r="E15" s="20">
        <f>+parámetros!$B$2</f>
        <v>3500</v>
      </c>
      <c r="F15" s="20">
        <f>+parámetros!$B$2</f>
        <v>3500</v>
      </c>
      <c r="G15" s="20">
        <f>+parámetros!$B$2</f>
        <v>3500</v>
      </c>
      <c r="H15" s="20">
        <f>+parámetros!$B$2</f>
        <v>3500</v>
      </c>
      <c r="I15" s="20">
        <f>+parámetros!$B$2</f>
        <v>3500</v>
      </c>
      <c r="J15" s="20">
        <f>+parámetros!$B$2</f>
        <v>3500</v>
      </c>
      <c r="K15" s="20">
        <f>+parámetros!$B$2</f>
        <v>3500</v>
      </c>
      <c r="L15" s="20">
        <f>+parámetros!$B$2</f>
        <v>3500</v>
      </c>
      <c r="M15" s="20">
        <f>+parámetros!$B$2</f>
        <v>3500</v>
      </c>
      <c r="N15" s="20">
        <f>+parámetros!$B$2</f>
        <v>3500</v>
      </c>
    </row>
    <row r="16" spans="2:14" x14ac:dyDescent="0.15">
      <c r="B16" s="11" t="s">
        <v>66</v>
      </c>
      <c r="C16" s="20">
        <f>+SUMIF(Costos!A2:A23,Costos!A2,Costos!C2:C23)</f>
        <v>555</v>
      </c>
      <c r="D16" s="20">
        <f>C16</f>
        <v>555</v>
      </c>
      <c r="E16" s="20">
        <f t="shared" ref="E16:N19" si="0">D16</f>
        <v>555</v>
      </c>
      <c r="F16" s="20">
        <f t="shared" si="0"/>
        <v>555</v>
      </c>
      <c r="G16" s="20">
        <f t="shared" si="0"/>
        <v>555</v>
      </c>
      <c r="H16" s="20">
        <f t="shared" si="0"/>
        <v>555</v>
      </c>
      <c r="I16" s="20">
        <f t="shared" si="0"/>
        <v>555</v>
      </c>
      <c r="J16" s="20">
        <f t="shared" si="0"/>
        <v>555</v>
      </c>
      <c r="K16" s="20">
        <f t="shared" si="0"/>
        <v>555</v>
      </c>
      <c r="L16" s="20">
        <f t="shared" si="0"/>
        <v>555</v>
      </c>
      <c r="M16" s="20">
        <f t="shared" si="0"/>
        <v>555</v>
      </c>
      <c r="N16" s="20">
        <f t="shared" si="0"/>
        <v>555</v>
      </c>
    </row>
    <row r="17" spans="2:14" x14ac:dyDescent="0.15">
      <c r="B17" s="11" t="s">
        <v>67</v>
      </c>
      <c r="C17" s="20">
        <f>+SUMIF(Costos!A2:A23,Costos!A7,Costos!C2:C23)</f>
        <v>2870</v>
      </c>
      <c r="D17" s="20">
        <f>C17</f>
        <v>2870</v>
      </c>
      <c r="E17" s="20">
        <f t="shared" si="0"/>
        <v>2870</v>
      </c>
      <c r="F17" s="20">
        <f t="shared" si="0"/>
        <v>2870</v>
      </c>
      <c r="G17" s="20">
        <f t="shared" si="0"/>
        <v>2870</v>
      </c>
      <c r="H17" s="20">
        <f t="shared" si="0"/>
        <v>2870</v>
      </c>
      <c r="I17" s="20">
        <f t="shared" si="0"/>
        <v>2870</v>
      </c>
      <c r="J17" s="20">
        <f t="shared" si="0"/>
        <v>2870</v>
      </c>
      <c r="K17" s="20">
        <f t="shared" si="0"/>
        <v>2870</v>
      </c>
      <c r="L17" s="20">
        <f t="shared" si="0"/>
        <v>2870</v>
      </c>
      <c r="M17" s="20">
        <f t="shared" si="0"/>
        <v>2870</v>
      </c>
      <c r="N17" s="20">
        <f t="shared" si="0"/>
        <v>2870</v>
      </c>
    </row>
    <row r="18" spans="2:14" x14ac:dyDescent="0.15">
      <c r="B18" s="11" t="s">
        <v>68</v>
      </c>
      <c r="C18" s="20">
        <f>+SUMIF(Costos!A2:A23,Costos!A12,Costos!C2:C23)</f>
        <v>33000</v>
      </c>
      <c r="D18" s="20">
        <f>C18</f>
        <v>33000</v>
      </c>
      <c r="E18" s="20">
        <f t="shared" si="0"/>
        <v>33000</v>
      </c>
      <c r="F18" s="20">
        <f t="shared" si="0"/>
        <v>33000</v>
      </c>
      <c r="G18" s="20">
        <f t="shared" si="0"/>
        <v>33000</v>
      </c>
      <c r="H18" s="20">
        <f t="shared" si="0"/>
        <v>33000</v>
      </c>
      <c r="I18" s="20">
        <f t="shared" si="0"/>
        <v>33000</v>
      </c>
      <c r="J18" s="20">
        <f t="shared" si="0"/>
        <v>33000</v>
      </c>
      <c r="K18" s="20">
        <f t="shared" si="0"/>
        <v>33000</v>
      </c>
      <c r="L18" s="20">
        <f t="shared" si="0"/>
        <v>33000</v>
      </c>
      <c r="M18" s="20">
        <f t="shared" si="0"/>
        <v>33000</v>
      </c>
      <c r="N18" s="20">
        <f t="shared" si="0"/>
        <v>33000</v>
      </c>
    </row>
    <row r="19" spans="2:14" x14ac:dyDescent="0.15">
      <c r="B19" s="11" t="s">
        <v>69</v>
      </c>
      <c r="C19" s="20">
        <f>+SUMIF(Costos!A2:A23,Costos!A16,Costos!C2:C23)</f>
        <v>32200</v>
      </c>
      <c r="D19" s="20">
        <f>C19</f>
        <v>32200</v>
      </c>
      <c r="E19" s="20">
        <f t="shared" si="0"/>
        <v>32200</v>
      </c>
      <c r="F19" s="20">
        <f t="shared" si="0"/>
        <v>32200</v>
      </c>
      <c r="G19" s="20">
        <f t="shared" si="0"/>
        <v>32200</v>
      </c>
      <c r="H19" s="20">
        <f t="shared" si="0"/>
        <v>32200</v>
      </c>
      <c r="I19" s="20">
        <f t="shared" si="0"/>
        <v>32200</v>
      </c>
      <c r="J19" s="20">
        <f t="shared" si="0"/>
        <v>32200</v>
      </c>
      <c r="K19" s="20">
        <f t="shared" si="0"/>
        <v>32200</v>
      </c>
      <c r="L19" s="20">
        <f t="shared" si="0"/>
        <v>32200</v>
      </c>
      <c r="M19" s="20">
        <f t="shared" si="0"/>
        <v>32200</v>
      </c>
      <c r="N19" s="20">
        <f t="shared" si="0"/>
        <v>32200</v>
      </c>
    </row>
    <row r="21" spans="2:14" x14ac:dyDescent="0.15">
      <c r="B21" s="11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2:14" x14ac:dyDescent="0.15">
      <c r="B22" s="13" t="s">
        <v>70</v>
      </c>
      <c r="C22" s="10" t="s">
        <v>51</v>
      </c>
      <c r="D22" s="10" t="s">
        <v>52</v>
      </c>
      <c r="E22" s="10" t="s">
        <v>53</v>
      </c>
      <c r="F22" s="10" t="s">
        <v>54</v>
      </c>
      <c r="G22" s="10" t="s">
        <v>55</v>
      </c>
      <c r="H22" s="10" t="s">
        <v>56</v>
      </c>
      <c r="I22" s="10" t="s">
        <v>57</v>
      </c>
      <c r="J22" s="10" t="s">
        <v>58</v>
      </c>
      <c r="K22" s="10" t="s">
        <v>59</v>
      </c>
      <c r="L22" s="10" t="s">
        <v>60</v>
      </c>
      <c r="M22" s="10" t="s">
        <v>61</v>
      </c>
      <c r="N22" s="10" t="s">
        <v>62</v>
      </c>
    </row>
    <row r="23" spans="2:14" x14ac:dyDescent="0.15">
      <c r="B23" s="11" t="s">
        <v>71</v>
      </c>
      <c r="C23" s="14">
        <f>+C14*C15</f>
        <v>17500</v>
      </c>
      <c r="D23" s="14">
        <f t="shared" ref="D23:N23" si="1">+D14*D15</f>
        <v>42000</v>
      </c>
      <c r="E23" s="14">
        <f t="shared" si="1"/>
        <v>77000</v>
      </c>
      <c r="F23" s="14">
        <f t="shared" si="1"/>
        <v>66500</v>
      </c>
      <c r="G23" s="14">
        <f t="shared" si="1"/>
        <v>87500</v>
      </c>
      <c r="H23" s="14">
        <f t="shared" si="1"/>
        <v>133000</v>
      </c>
      <c r="I23" s="14">
        <f t="shared" si="1"/>
        <v>119000</v>
      </c>
      <c r="J23" s="14">
        <f t="shared" si="1"/>
        <v>136500</v>
      </c>
      <c r="K23" s="14">
        <f>+K14*K15</f>
        <v>94500</v>
      </c>
      <c r="L23" s="14">
        <f t="shared" si="1"/>
        <v>147000</v>
      </c>
      <c r="M23" s="14">
        <f t="shared" si="1"/>
        <v>203000</v>
      </c>
      <c r="N23" s="14">
        <f t="shared" si="1"/>
        <v>213500</v>
      </c>
    </row>
    <row r="24" spans="2:14" x14ac:dyDescent="0.15">
      <c r="B24" s="11" t="s">
        <v>72</v>
      </c>
      <c r="C24" s="14">
        <f>+C16*C14</f>
        <v>2775</v>
      </c>
      <c r="D24" s="14">
        <f t="shared" ref="D24:N24" si="2">+D16*D14</f>
        <v>6660</v>
      </c>
      <c r="E24" s="14">
        <f t="shared" si="2"/>
        <v>12210</v>
      </c>
      <c r="F24" s="14">
        <f t="shared" si="2"/>
        <v>10545</v>
      </c>
      <c r="G24" s="14">
        <f t="shared" si="2"/>
        <v>13875</v>
      </c>
      <c r="H24" s="14">
        <f t="shared" si="2"/>
        <v>21090</v>
      </c>
      <c r="I24" s="14">
        <f t="shared" si="2"/>
        <v>18870</v>
      </c>
      <c r="J24" s="14">
        <f t="shared" si="2"/>
        <v>21645</v>
      </c>
      <c r="K24" s="14">
        <f t="shared" si="2"/>
        <v>14985</v>
      </c>
      <c r="L24" s="14">
        <f t="shared" si="2"/>
        <v>23310</v>
      </c>
      <c r="M24" s="14">
        <f t="shared" si="2"/>
        <v>32190</v>
      </c>
      <c r="N24" s="14">
        <f t="shared" si="2"/>
        <v>33855</v>
      </c>
    </row>
    <row r="25" spans="2:14" x14ac:dyDescent="0.15">
      <c r="B25" s="11" t="s">
        <v>73</v>
      </c>
      <c r="C25" s="14">
        <f>+C17*C14</f>
        <v>14350</v>
      </c>
      <c r="D25" s="14">
        <f t="shared" ref="D25:N25" si="3">+D17*D14</f>
        <v>34440</v>
      </c>
      <c r="E25" s="14">
        <f t="shared" si="3"/>
        <v>63140</v>
      </c>
      <c r="F25" s="14">
        <f t="shared" si="3"/>
        <v>54530</v>
      </c>
      <c r="G25" s="14">
        <f t="shared" si="3"/>
        <v>71750</v>
      </c>
      <c r="H25" s="14">
        <f t="shared" si="3"/>
        <v>109060</v>
      </c>
      <c r="I25" s="14">
        <f t="shared" si="3"/>
        <v>97580</v>
      </c>
      <c r="J25" s="14">
        <f t="shared" si="3"/>
        <v>111930</v>
      </c>
      <c r="K25" s="14">
        <f t="shared" si="3"/>
        <v>77490</v>
      </c>
      <c r="L25" s="14">
        <f t="shared" si="3"/>
        <v>120540</v>
      </c>
      <c r="M25" s="14">
        <f t="shared" si="3"/>
        <v>166460</v>
      </c>
      <c r="N25" s="14">
        <f t="shared" si="3"/>
        <v>175070</v>
      </c>
    </row>
    <row r="26" spans="2:14" x14ac:dyDescent="0.15">
      <c r="B26" s="15" t="s">
        <v>74</v>
      </c>
      <c r="C26" s="21">
        <f>C24+C25</f>
        <v>17125</v>
      </c>
      <c r="D26" s="21">
        <f t="shared" ref="D26:N26" si="4">D24+D25</f>
        <v>41100</v>
      </c>
      <c r="E26" s="21">
        <f t="shared" si="4"/>
        <v>75350</v>
      </c>
      <c r="F26" s="21">
        <f t="shared" si="4"/>
        <v>65075</v>
      </c>
      <c r="G26" s="21">
        <f t="shared" si="4"/>
        <v>85625</v>
      </c>
      <c r="H26" s="21">
        <f t="shared" si="4"/>
        <v>130150</v>
      </c>
      <c r="I26" s="21">
        <f t="shared" si="4"/>
        <v>116450</v>
      </c>
      <c r="J26" s="21">
        <f t="shared" si="4"/>
        <v>133575</v>
      </c>
      <c r="K26" s="21">
        <f t="shared" si="4"/>
        <v>92475</v>
      </c>
      <c r="L26" s="21">
        <f t="shared" si="4"/>
        <v>143850</v>
      </c>
      <c r="M26" s="21">
        <f t="shared" si="4"/>
        <v>198650</v>
      </c>
      <c r="N26" s="21">
        <f t="shared" si="4"/>
        <v>208925</v>
      </c>
    </row>
    <row r="27" spans="2:14" x14ac:dyDescent="0.15">
      <c r="B27" s="11" t="str">
        <f>B18</f>
        <v>Costos fijos directos</v>
      </c>
      <c r="C27" s="14">
        <f>+C18</f>
        <v>33000</v>
      </c>
      <c r="D27" s="14">
        <f t="shared" ref="D27:M27" si="5">+D18</f>
        <v>33000</v>
      </c>
      <c r="E27" s="14">
        <f t="shared" si="5"/>
        <v>33000</v>
      </c>
      <c r="F27" s="14">
        <f t="shared" si="5"/>
        <v>33000</v>
      </c>
      <c r="G27" s="14">
        <f t="shared" si="5"/>
        <v>33000</v>
      </c>
      <c r="H27" s="14">
        <f t="shared" si="5"/>
        <v>33000</v>
      </c>
      <c r="I27" s="14">
        <f t="shared" si="5"/>
        <v>33000</v>
      </c>
      <c r="J27" s="14">
        <f t="shared" si="5"/>
        <v>33000</v>
      </c>
      <c r="K27" s="14">
        <f t="shared" si="5"/>
        <v>33000</v>
      </c>
      <c r="L27" s="14">
        <f t="shared" si="5"/>
        <v>33000</v>
      </c>
      <c r="M27" s="14">
        <f t="shared" si="5"/>
        <v>33000</v>
      </c>
      <c r="N27" s="14">
        <f>+N18</f>
        <v>33000</v>
      </c>
    </row>
    <row r="28" spans="2:14" x14ac:dyDescent="0.15">
      <c r="B28" s="16" t="s">
        <v>75</v>
      </c>
      <c r="C28" s="22">
        <f>+C23-C26</f>
        <v>375</v>
      </c>
      <c r="D28" s="22">
        <f t="shared" ref="D28:N28" si="6">+D23-D26</f>
        <v>900</v>
      </c>
      <c r="E28" s="22">
        <f t="shared" si="6"/>
        <v>1650</v>
      </c>
      <c r="F28" s="22">
        <f t="shared" si="6"/>
        <v>1425</v>
      </c>
      <c r="G28" s="22">
        <f t="shared" si="6"/>
        <v>1875</v>
      </c>
      <c r="H28" s="22">
        <f t="shared" si="6"/>
        <v>2850</v>
      </c>
      <c r="I28" s="22">
        <f t="shared" si="6"/>
        <v>2550</v>
      </c>
      <c r="J28" s="22">
        <f t="shared" si="6"/>
        <v>2925</v>
      </c>
      <c r="K28" s="22">
        <f t="shared" si="6"/>
        <v>2025</v>
      </c>
      <c r="L28" s="22">
        <f t="shared" si="6"/>
        <v>3150</v>
      </c>
      <c r="M28" s="22">
        <f t="shared" si="6"/>
        <v>4350</v>
      </c>
      <c r="N28" s="22">
        <f t="shared" si="6"/>
        <v>4575</v>
      </c>
    </row>
    <row r="29" spans="2:14" x14ac:dyDescent="0.15">
      <c r="B29" s="11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2:14" x14ac:dyDescent="0.15">
      <c r="B30" s="11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2:14" x14ac:dyDescent="0.15">
      <c r="B31" s="13" t="s">
        <v>76</v>
      </c>
      <c r="C31" s="10" t="s">
        <v>51</v>
      </c>
      <c r="D31" s="10" t="s">
        <v>52</v>
      </c>
      <c r="E31" s="10" t="s">
        <v>53</v>
      </c>
      <c r="F31" s="10" t="s">
        <v>54</v>
      </c>
      <c r="G31" s="10" t="s">
        <v>55</v>
      </c>
      <c r="H31" s="10" t="s">
        <v>56</v>
      </c>
      <c r="I31" s="10" t="s">
        <v>57</v>
      </c>
      <c r="J31" s="10" t="s">
        <v>58</v>
      </c>
      <c r="K31" s="10" t="s">
        <v>59</v>
      </c>
      <c r="L31" s="10" t="s">
        <v>60</v>
      </c>
      <c r="M31" s="10" t="s">
        <v>61</v>
      </c>
      <c r="N31" s="10" t="s">
        <v>62</v>
      </c>
    </row>
    <row r="32" spans="2:14" ht="16" x14ac:dyDescent="0.2">
      <c r="B32" s="18" t="s">
        <v>77</v>
      </c>
      <c r="C32" s="39">
        <v>95000</v>
      </c>
      <c r="D32" s="39">
        <v>130000</v>
      </c>
      <c r="E32" s="39">
        <v>175000</v>
      </c>
      <c r="F32" s="39">
        <v>160000</v>
      </c>
      <c r="G32" s="39">
        <v>285000</v>
      </c>
      <c r="H32" s="39">
        <v>320000</v>
      </c>
      <c r="I32" s="39">
        <v>295000</v>
      </c>
      <c r="J32" s="39">
        <v>350000</v>
      </c>
      <c r="K32" s="39">
        <v>305000</v>
      </c>
      <c r="L32" s="39">
        <v>380000</v>
      </c>
      <c r="M32" s="39">
        <v>410000</v>
      </c>
      <c r="N32" s="39">
        <v>500000</v>
      </c>
    </row>
    <row r="33" spans="2:14" ht="16" x14ac:dyDescent="0.2">
      <c r="B33" s="18" t="s">
        <v>74</v>
      </c>
      <c r="C33" s="39">
        <v>48000</v>
      </c>
      <c r="D33" s="39">
        <v>64000</v>
      </c>
      <c r="E33" s="39">
        <v>88000</v>
      </c>
      <c r="F33" s="39">
        <v>81000</v>
      </c>
      <c r="G33" s="39">
        <v>145000</v>
      </c>
      <c r="H33" s="39">
        <v>160000</v>
      </c>
      <c r="I33" s="39">
        <v>150000</v>
      </c>
      <c r="J33" s="39">
        <v>170000</v>
      </c>
      <c r="K33" s="39">
        <v>155000</v>
      </c>
      <c r="L33" s="39">
        <v>185000</v>
      </c>
      <c r="M33" s="39">
        <v>198000</v>
      </c>
      <c r="N33" s="39">
        <v>245000</v>
      </c>
    </row>
    <row r="34" spans="2:14" ht="16" x14ac:dyDescent="0.2">
      <c r="B34" s="18" t="str">
        <f>B18</f>
        <v>Costos fijos directos</v>
      </c>
      <c r="C34" s="39">
        <v>10000</v>
      </c>
      <c r="D34" s="39">
        <v>10000</v>
      </c>
      <c r="E34" s="39">
        <v>10000</v>
      </c>
      <c r="F34" s="39">
        <v>10000</v>
      </c>
      <c r="G34" s="39">
        <v>12000</v>
      </c>
      <c r="H34" s="39">
        <v>12000</v>
      </c>
      <c r="I34" s="39">
        <v>12000</v>
      </c>
      <c r="J34" s="39">
        <v>12000</v>
      </c>
      <c r="K34" s="39">
        <v>12000</v>
      </c>
      <c r="L34" s="39">
        <v>12000</v>
      </c>
      <c r="M34" s="39">
        <v>12000</v>
      </c>
      <c r="N34" s="39">
        <v>12000</v>
      </c>
    </row>
    <row r="35" spans="2:14" x14ac:dyDescent="0.15">
      <c r="B35" s="11" t="str">
        <f>B19</f>
        <v>Costos fijos indirectos</v>
      </c>
      <c r="C35" s="21">
        <f>+C19</f>
        <v>32200</v>
      </c>
      <c r="D35" s="21">
        <f t="shared" ref="D35:N35" si="7">+D19</f>
        <v>32200</v>
      </c>
      <c r="E35" s="21">
        <f t="shared" si="7"/>
        <v>32200</v>
      </c>
      <c r="F35" s="21">
        <f t="shared" si="7"/>
        <v>32200</v>
      </c>
      <c r="G35" s="21">
        <f t="shared" si="7"/>
        <v>32200</v>
      </c>
      <c r="H35" s="21">
        <f t="shared" si="7"/>
        <v>32200</v>
      </c>
      <c r="I35" s="21">
        <f t="shared" si="7"/>
        <v>32200</v>
      </c>
      <c r="J35" s="21">
        <f t="shared" si="7"/>
        <v>32200</v>
      </c>
      <c r="K35" s="21">
        <f t="shared" si="7"/>
        <v>32200</v>
      </c>
      <c r="L35" s="21">
        <f t="shared" si="7"/>
        <v>32200</v>
      </c>
      <c r="M35" s="21">
        <f t="shared" si="7"/>
        <v>32200</v>
      </c>
      <c r="N35" s="21">
        <f t="shared" si="7"/>
        <v>32200</v>
      </c>
    </row>
    <row r="36" spans="2:14" x14ac:dyDescent="0.15">
      <c r="B36" s="17" t="s">
        <v>78</v>
      </c>
      <c r="C36" s="22">
        <f>C32-C33-C34-C35</f>
        <v>4800</v>
      </c>
      <c r="D36" s="22">
        <f t="shared" ref="D36:N36" si="8">D32-D33-D34-D35</f>
        <v>23800</v>
      </c>
      <c r="E36" s="22">
        <f t="shared" si="8"/>
        <v>44800</v>
      </c>
      <c r="F36" s="22">
        <f t="shared" si="8"/>
        <v>36800</v>
      </c>
      <c r="G36" s="22">
        <f t="shared" si="8"/>
        <v>95800</v>
      </c>
      <c r="H36" s="22">
        <f t="shared" si="8"/>
        <v>115800</v>
      </c>
      <c r="I36" s="22">
        <f t="shared" si="8"/>
        <v>100800</v>
      </c>
      <c r="J36" s="22">
        <f t="shared" si="8"/>
        <v>135800</v>
      </c>
      <c r="K36" s="22">
        <f t="shared" si="8"/>
        <v>105800</v>
      </c>
      <c r="L36" s="22">
        <f t="shared" si="8"/>
        <v>150800</v>
      </c>
      <c r="M36" s="22">
        <f t="shared" si="8"/>
        <v>167800</v>
      </c>
      <c r="N36" s="22">
        <f t="shared" si="8"/>
        <v>210800</v>
      </c>
    </row>
    <row r="38" spans="2:14" x14ac:dyDescent="0.15">
      <c r="B38" s="40" t="s">
        <v>79</v>
      </c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</row>
    <row r="39" spans="2:14" x14ac:dyDescent="0.15">
      <c r="C39" s="10" t="s">
        <v>51</v>
      </c>
      <c r="D39" s="10" t="s">
        <v>52</v>
      </c>
      <c r="E39" s="10" t="s">
        <v>53</v>
      </c>
      <c r="F39" s="10" t="s">
        <v>54</v>
      </c>
      <c r="G39" s="10" t="s">
        <v>55</v>
      </c>
      <c r="H39" s="10" t="s">
        <v>56</v>
      </c>
      <c r="I39" s="10" t="s">
        <v>57</v>
      </c>
      <c r="J39" s="10" t="s">
        <v>58</v>
      </c>
      <c r="K39" s="10" t="s">
        <v>59</v>
      </c>
      <c r="L39" s="10" t="s">
        <v>60</v>
      </c>
      <c r="M39" s="10" t="s">
        <v>61</v>
      </c>
      <c r="N39" s="10" t="s">
        <v>62</v>
      </c>
    </row>
    <row r="40" spans="2:14" x14ac:dyDescent="0.15">
      <c r="B40" s="11" t="s">
        <v>80</v>
      </c>
      <c r="C40" s="21">
        <f>C32</f>
        <v>95000</v>
      </c>
      <c r="D40" s="21">
        <f t="shared" ref="D40:N41" si="9">D32</f>
        <v>130000</v>
      </c>
      <c r="E40" s="21">
        <f t="shared" si="9"/>
        <v>175000</v>
      </c>
      <c r="F40" s="21">
        <f t="shared" si="9"/>
        <v>160000</v>
      </c>
      <c r="G40" s="21">
        <f t="shared" si="9"/>
        <v>285000</v>
      </c>
      <c r="H40" s="21">
        <f t="shared" si="9"/>
        <v>320000</v>
      </c>
      <c r="I40" s="21">
        <f t="shared" si="9"/>
        <v>295000</v>
      </c>
      <c r="J40" s="21">
        <f t="shared" si="9"/>
        <v>350000</v>
      </c>
      <c r="K40" s="21">
        <f t="shared" si="9"/>
        <v>305000</v>
      </c>
      <c r="L40" s="21">
        <f t="shared" si="9"/>
        <v>380000</v>
      </c>
      <c r="M40" s="21">
        <f t="shared" si="9"/>
        <v>410000</v>
      </c>
      <c r="N40" s="21">
        <f t="shared" si="9"/>
        <v>500000</v>
      </c>
    </row>
    <row r="41" spans="2:14" x14ac:dyDescent="0.15">
      <c r="B41" s="11" t="s">
        <v>81</v>
      </c>
      <c r="C41" s="21">
        <f>C33</f>
        <v>48000</v>
      </c>
      <c r="D41" s="21">
        <f t="shared" si="9"/>
        <v>64000</v>
      </c>
      <c r="E41" s="21">
        <f t="shared" si="9"/>
        <v>88000</v>
      </c>
      <c r="F41" s="21">
        <f t="shared" si="9"/>
        <v>81000</v>
      </c>
      <c r="G41" s="21">
        <f t="shared" si="9"/>
        <v>145000</v>
      </c>
      <c r="H41" s="21">
        <f t="shared" si="9"/>
        <v>160000</v>
      </c>
      <c r="I41" s="21">
        <f t="shared" si="9"/>
        <v>150000</v>
      </c>
      <c r="J41" s="21">
        <f t="shared" si="9"/>
        <v>170000</v>
      </c>
      <c r="K41" s="21">
        <f t="shared" si="9"/>
        <v>155000</v>
      </c>
      <c r="L41" s="21">
        <f t="shared" si="9"/>
        <v>185000</v>
      </c>
      <c r="M41" s="21">
        <f t="shared" si="9"/>
        <v>198000</v>
      </c>
      <c r="N41" s="21">
        <f t="shared" si="9"/>
        <v>245000</v>
      </c>
    </row>
    <row r="42" spans="2:14" x14ac:dyDescent="0.15">
      <c r="B42" s="11" t="s">
        <v>82</v>
      </c>
      <c r="C42" s="21">
        <f>C34+C35</f>
        <v>42200</v>
      </c>
      <c r="D42" s="21">
        <f t="shared" ref="D42:N42" si="10">D34+D35</f>
        <v>42200</v>
      </c>
      <c r="E42" s="21">
        <f t="shared" si="10"/>
        <v>42200</v>
      </c>
      <c r="F42" s="21">
        <f t="shared" si="10"/>
        <v>42200</v>
      </c>
      <c r="G42" s="21">
        <f t="shared" si="10"/>
        <v>44200</v>
      </c>
      <c r="H42" s="21">
        <f t="shared" si="10"/>
        <v>44200</v>
      </c>
      <c r="I42" s="21">
        <f t="shared" si="10"/>
        <v>44200</v>
      </c>
      <c r="J42" s="21">
        <f t="shared" si="10"/>
        <v>44200</v>
      </c>
      <c r="K42" s="21">
        <f t="shared" si="10"/>
        <v>44200</v>
      </c>
      <c r="L42" s="21">
        <f t="shared" si="10"/>
        <v>44200</v>
      </c>
      <c r="M42" s="21">
        <f t="shared" si="10"/>
        <v>44200</v>
      </c>
      <c r="N42" s="21">
        <f t="shared" si="10"/>
        <v>44200</v>
      </c>
    </row>
    <row r="43" spans="2:14" x14ac:dyDescent="0.15">
      <c r="B43" s="11" t="s">
        <v>83</v>
      </c>
      <c r="C43" s="20">
        <f>C42/(1-(C41/C40))</f>
        <v>85297.872340425529</v>
      </c>
      <c r="D43" s="20">
        <f t="shared" ref="D43:N43" si="11">D42/(1-(D41/D40))</f>
        <v>83121.212121212127</v>
      </c>
      <c r="E43" s="20">
        <f t="shared" si="11"/>
        <v>84885.057471264372</v>
      </c>
      <c r="F43" s="20">
        <f t="shared" si="11"/>
        <v>85468.354430379739</v>
      </c>
      <c r="G43" s="20">
        <f t="shared" si="11"/>
        <v>89978.571428571435</v>
      </c>
      <c r="H43" s="20">
        <f t="shared" si="11"/>
        <v>88400</v>
      </c>
      <c r="I43" s="20">
        <f t="shared" si="11"/>
        <v>89924.137931034478</v>
      </c>
      <c r="J43" s="20">
        <f t="shared" si="11"/>
        <v>85944.444444444453</v>
      </c>
      <c r="K43" s="20">
        <f t="shared" si="11"/>
        <v>89873.333333333328</v>
      </c>
      <c r="L43" s="20">
        <f t="shared" si="11"/>
        <v>86133.333333333343</v>
      </c>
      <c r="M43" s="20">
        <f t="shared" si="11"/>
        <v>85481.132075471702</v>
      </c>
      <c r="N43" s="20">
        <f t="shared" si="11"/>
        <v>86666.666666666672</v>
      </c>
    </row>
    <row r="44" spans="2:14" x14ac:dyDescent="0.15">
      <c r="B44" s="11" t="s">
        <v>84</v>
      </c>
      <c r="C44" s="23">
        <f>C40/C43</f>
        <v>1.113744075829384</v>
      </c>
      <c r="D44" s="23">
        <f t="shared" ref="D44:N44" si="12">D40/D43</f>
        <v>1.5639810426540284</v>
      </c>
      <c r="E44" s="23">
        <f t="shared" si="12"/>
        <v>2.0616113744075828</v>
      </c>
      <c r="F44" s="23">
        <f t="shared" si="12"/>
        <v>1.8720379146919433</v>
      </c>
      <c r="G44" s="23">
        <f t="shared" si="12"/>
        <v>3.1674208144796379</v>
      </c>
      <c r="H44" s="23">
        <f t="shared" si="12"/>
        <v>3.6199095022624435</v>
      </c>
      <c r="I44" s="23">
        <f t="shared" si="12"/>
        <v>3.2805429864253397</v>
      </c>
      <c r="J44" s="23">
        <f t="shared" si="12"/>
        <v>4.0723981900452486</v>
      </c>
      <c r="K44" s="23">
        <f t="shared" si="12"/>
        <v>3.3936651583710411</v>
      </c>
      <c r="L44" s="23">
        <f t="shared" si="12"/>
        <v>4.4117647058823524</v>
      </c>
      <c r="M44" s="23">
        <f t="shared" si="12"/>
        <v>4.7963800904977374</v>
      </c>
      <c r="N44" s="23">
        <f t="shared" si="12"/>
        <v>5.7692307692307692</v>
      </c>
    </row>
    <row r="50" spans="2:5" x14ac:dyDescent="0.15">
      <c r="B50" s="11" t="s">
        <v>143</v>
      </c>
      <c r="C50" s="38" t="s">
        <v>146</v>
      </c>
      <c r="D50" s="38" t="s">
        <v>147</v>
      </c>
      <c r="E50" s="38" t="s">
        <v>148</v>
      </c>
    </row>
    <row r="51" spans="2:5" x14ac:dyDescent="0.15">
      <c r="B51" s="11" t="s">
        <v>136</v>
      </c>
      <c r="C51" s="36">
        <f>+C43</f>
        <v>85297.872340425529</v>
      </c>
      <c r="D51" s="36">
        <v>85397.87</v>
      </c>
      <c r="E51" s="36">
        <f>+C43</f>
        <v>85297.872340425529</v>
      </c>
    </row>
    <row r="52" spans="2:5" x14ac:dyDescent="0.15">
      <c r="B52" s="11" t="s">
        <v>144</v>
      </c>
      <c r="C52" s="36">
        <f>($C$41/$C$40)*C43</f>
        <v>43097.872340425529</v>
      </c>
      <c r="D52" s="36">
        <f>+(C41/C40)*D51</f>
        <v>43148.397473684206</v>
      </c>
      <c r="E52" s="36">
        <f>+C52-100</f>
        <v>42997.872340425529</v>
      </c>
    </row>
    <row r="53" spans="2:5" ht="14" thickBot="1" x14ac:dyDescent="0.2">
      <c r="B53" s="11" t="s">
        <v>145</v>
      </c>
      <c r="C53" s="37">
        <f>+C42</f>
        <v>42200</v>
      </c>
      <c r="D53" s="37">
        <f>+D42</f>
        <v>42200</v>
      </c>
      <c r="E53" s="37">
        <f>+E42</f>
        <v>42200</v>
      </c>
    </row>
    <row r="54" spans="2:5" ht="14" thickTop="1" x14ac:dyDescent="0.15">
      <c r="B54" s="11" t="s">
        <v>139</v>
      </c>
      <c r="C54" s="36">
        <f>C51-C52-C53</f>
        <v>0</v>
      </c>
      <c r="D54" s="36">
        <f>+D51-D52-D53</f>
        <v>49.472526315788855</v>
      </c>
      <c r="E54" s="36">
        <f>+E51-E52-E53</f>
        <v>100</v>
      </c>
    </row>
  </sheetData>
  <mergeCells count="2">
    <mergeCell ref="B38:N38"/>
    <mergeCell ref="B11:N1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435E9-CFE9-2645-951E-2086BD99C96C}">
  <dimension ref="C3:F10"/>
  <sheetViews>
    <sheetView showGridLines="0" tabSelected="1" topLeftCell="B1" workbookViewId="0">
      <selection activeCell="G17" sqref="G17"/>
    </sheetView>
  </sheetViews>
  <sheetFormatPr baseColWidth="10" defaultRowHeight="16" x14ac:dyDescent="0.2"/>
  <cols>
    <col min="3" max="3" width="16.33203125" bestFit="1" customWidth="1"/>
  </cols>
  <sheetData>
    <row r="3" spans="3:6" x14ac:dyDescent="0.2">
      <c r="C3" s="34" t="s">
        <v>136</v>
      </c>
      <c r="D3" s="35">
        <v>100</v>
      </c>
      <c r="E3" s="35">
        <v>80</v>
      </c>
      <c r="F3" s="34">
        <v>71.430000000000007</v>
      </c>
    </row>
    <row r="4" spans="3:6" x14ac:dyDescent="0.2">
      <c r="C4" s="34" t="s">
        <v>137</v>
      </c>
      <c r="D4" s="35">
        <v>30</v>
      </c>
      <c r="E4" s="35">
        <f>+E3*D8</f>
        <v>24</v>
      </c>
      <c r="F4" s="34">
        <f>+F3*D8</f>
        <v>21.429000000000002</v>
      </c>
    </row>
    <row r="5" spans="3:6" x14ac:dyDescent="0.2">
      <c r="C5" s="34" t="s">
        <v>138</v>
      </c>
      <c r="D5" s="35">
        <v>50</v>
      </c>
      <c r="E5" s="35">
        <v>50</v>
      </c>
      <c r="F5" s="35">
        <v>50</v>
      </c>
    </row>
    <row r="6" spans="3:6" x14ac:dyDescent="0.2">
      <c r="C6" s="43" t="s">
        <v>139</v>
      </c>
      <c r="D6" s="43">
        <f>+D3-D4-D5</f>
        <v>20</v>
      </c>
      <c r="E6" s="44">
        <f>+E3-E4-E5</f>
        <v>6</v>
      </c>
      <c r="F6" s="44">
        <f>+F3-F4-F5</f>
        <v>1.0000000000047748E-3</v>
      </c>
    </row>
    <row r="8" spans="3:6" x14ac:dyDescent="0.2">
      <c r="C8" s="34" t="s">
        <v>140</v>
      </c>
      <c r="D8" s="45">
        <f>+D4/D3</f>
        <v>0.3</v>
      </c>
    </row>
    <row r="9" spans="3:6" x14ac:dyDescent="0.2">
      <c r="C9" s="34" t="s">
        <v>141</v>
      </c>
      <c r="D9" s="46">
        <f>1-D8</f>
        <v>0.7</v>
      </c>
    </row>
    <row r="10" spans="3:6" x14ac:dyDescent="0.2">
      <c r="C10" s="34" t="s">
        <v>142</v>
      </c>
      <c r="D10" s="42">
        <f>D5/(1-D8)</f>
        <v>71.428571428571431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parámetros</vt:lpstr>
      <vt:lpstr>Clasificación de costos</vt:lpstr>
      <vt:lpstr>Ingresos</vt:lpstr>
      <vt:lpstr>Clientes</vt:lpstr>
      <vt:lpstr>Costos</vt:lpstr>
      <vt:lpstr>EERR</vt:lpstr>
      <vt:lpstr>Punto de equilibrio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Lesly Herrera</dc:creator>
  <cp:lastModifiedBy>Lesly Herrera</cp:lastModifiedBy>
  <dcterms:created xsi:type="dcterms:W3CDTF">2025-11-07T11:39:18Z</dcterms:created>
  <dcterms:modified xsi:type="dcterms:W3CDTF">2025-11-07T16:37:59Z</dcterms:modified>
</cp:coreProperties>
</file>