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ARPETAS\ICE México\Intervención y análisis para la consultoría\Unidad 4\"/>
    </mc:Choice>
  </mc:AlternateContent>
  <bookViews>
    <workbookView xWindow="-120" yWindow="-120" windowWidth="13080" windowHeight="9240" firstSheet="15" activeTab="15"/>
  </bookViews>
  <sheets>
    <sheet name="DISTRIBUCION DE FRECUENCIAS" sheetId="1" r:id="rId1"/>
    <sheet name="Gráfico1" sheetId="4" r:id="rId2"/>
    <sheet name="Media, mediana y moda no agrupa" sheetId="2" r:id="rId3"/>
    <sheet name="media mediana moda agrupados" sheetId="3" r:id="rId4"/>
    <sheet name="SUMATORIA" sheetId="5" r:id="rId5"/>
    <sheet name="media arirmética" sheetId="6" r:id="rId6"/>
    <sheet name="avances" sheetId="7" r:id="rId7"/>
    <sheet name="MEDIANA" sheetId="8" r:id="rId8"/>
    <sheet name="1er parcial" sheetId="9" r:id="rId9"/>
    <sheet name="BIMODAL" sheetId="10" r:id="rId10"/>
    <sheet name="3er  parcial cedva" sheetId="11" r:id="rId11"/>
    <sheet name="Hoja1" sheetId="12" r:id="rId12"/>
    <sheet name="Hoja2" sheetId="13" r:id="rId13"/>
    <sheet name="temperatura grados fahrenheit" sheetId="14" r:id="rId14"/>
    <sheet name="medidas de dispersion" sheetId="15" r:id="rId15"/>
    <sheet name="HEMOGLOBINA 75 DIABÉTICOS" sheetId="16" r:id="rId1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3" i="16" l="1"/>
  <c r="F94" i="16" s="1"/>
  <c r="F95" i="16" s="1"/>
  <c r="F96" i="16" s="1"/>
  <c r="F97" i="16" s="1"/>
  <c r="F98" i="16" s="1"/>
  <c r="F99" i="16" s="1"/>
  <c r="F100" i="16" s="1"/>
  <c r="F77" i="16"/>
  <c r="F78" i="16" s="1"/>
  <c r="F79" i="16" s="1"/>
  <c r="F80" i="16" s="1"/>
  <c r="F81" i="16" s="1"/>
  <c r="F82" i="16" s="1"/>
  <c r="F83" i="16" s="1"/>
  <c r="F84" i="16" s="1"/>
  <c r="M39" i="16" l="1"/>
  <c r="D76" i="16" l="1"/>
  <c r="D73" i="16"/>
  <c r="D67" i="16"/>
  <c r="D60" i="16"/>
  <c r="D50" i="16"/>
  <c r="D36" i="16"/>
  <c r="D22" i="16"/>
  <c r="D11" i="16"/>
  <c r="D5" i="16"/>
  <c r="C77" i="16"/>
  <c r="H92" i="16" l="1"/>
  <c r="J76" i="16"/>
  <c r="J83" i="16"/>
  <c r="H99" i="16"/>
  <c r="J84" i="16"/>
  <c r="H100" i="16"/>
  <c r="I104" i="16"/>
  <c r="J78" i="16"/>
  <c r="H94" i="16"/>
  <c r="M61" i="16"/>
  <c r="J82" i="16"/>
  <c r="H98" i="16"/>
  <c r="J80" i="16"/>
  <c r="H96" i="16"/>
  <c r="P60" i="16"/>
  <c r="M62" i="16"/>
  <c r="H97" i="16"/>
  <c r="J81" i="16"/>
  <c r="P62" i="16"/>
  <c r="H93" i="16"/>
  <c r="J77" i="16"/>
  <c r="J79" i="16"/>
  <c r="H95" i="16"/>
  <c r="M60" i="16"/>
  <c r="P61" i="16"/>
  <c r="H109" i="9"/>
  <c r="G128" i="9" s="1"/>
  <c r="G61" i="9"/>
  <c r="G76" i="16" l="1"/>
  <c r="H76" i="16" s="1"/>
  <c r="U12" i="16"/>
  <c r="N67" i="16"/>
  <c r="N66" i="16"/>
  <c r="T67" i="16"/>
  <c r="T66" i="16"/>
  <c r="K35" i="16"/>
  <c r="O39" i="16" s="1"/>
  <c r="M44" i="16" s="1"/>
  <c r="J21" i="13"/>
  <c r="J20" i="13"/>
  <c r="J22" i="13" s="1"/>
  <c r="F21" i="13"/>
  <c r="G20" i="13"/>
  <c r="L6" i="13"/>
  <c r="L7" i="13"/>
  <c r="P10" i="13"/>
  <c r="N10" i="13"/>
  <c r="M9" i="13"/>
  <c r="K9" i="13"/>
  <c r="L10" i="13" s="1"/>
  <c r="M6" i="13" l="1"/>
  <c r="N6" i="13" s="1"/>
  <c r="O6" i="13" s="1"/>
  <c r="AA12" i="16"/>
  <c r="V12" i="16"/>
  <c r="W12" i="16" s="1"/>
  <c r="K36" i="16"/>
  <c r="I76" i="16"/>
  <c r="K76" i="16" s="1"/>
  <c r="G92" i="16"/>
  <c r="J92" i="16" s="1"/>
  <c r="L12" i="13"/>
  <c r="G77" i="16" l="1"/>
  <c r="H77" i="16" s="1"/>
  <c r="U13" i="16"/>
  <c r="G78" i="16"/>
  <c r="H78" i="16" s="1"/>
  <c r="U14" i="16"/>
  <c r="M57" i="16"/>
  <c r="K67" i="16" s="1"/>
  <c r="K70" i="16" s="1"/>
  <c r="C18" i="13"/>
  <c r="E20" i="13" s="1"/>
  <c r="E23" i="13" s="1"/>
  <c r="C9" i="13"/>
  <c r="AA13" i="16" l="1"/>
  <c r="V13" i="16"/>
  <c r="W13" i="16" s="1"/>
  <c r="G79" i="16"/>
  <c r="H79" i="16" s="1"/>
  <c r="U15" i="16"/>
  <c r="I77" i="16"/>
  <c r="K77" i="16" s="1"/>
  <c r="G93" i="16"/>
  <c r="J93" i="16" s="1"/>
  <c r="AA14" i="16"/>
  <c r="V14" i="16"/>
  <c r="W14" i="16" s="1"/>
  <c r="M58" i="16"/>
  <c r="M59" i="16" s="1"/>
  <c r="O67" i="16" s="1"/>
  <c r="N70" i="16" s="1"/>
  <c r="K72" i="16" s="1"/>
  <c r="I78" i="16"/>
  <c r="K78" i="16" s="1"/>
  <c r="G94" i="16"/>
  <c r="J94" i="16" s="1"/>
  <c r="D9" i="13"/>
  <c r="B10" i="13"/>
  <c r="C20" i="13" s="1"/>
  <c r="D27" i="15"/>
  <c r="F10" i="15"/>
  <c r="D23" i="15"/>
  <c r="D22" i="15"/>
  <c r="D21" i="15"/>
  <c r="D20" i="15"/>
  <c r="D19" i="15"/>
  <c r="D18" i="15"/>
  <c r="AA15" i="16" l="1"/>
  <c r="V15" i="16"/>
  <c r="W15" i="16" s="1"/>
  <c r="P57" i="16"/>
  <c r="R67" i="16" s="1"/>
  <c r="R70" i="16" s="1"/>
  <c r="K32" i="16"/>
  <c r="O32" i="16" s="1"/>
  <c r="J40" i="16" s="1"/>
  <c r="J44" i="16" s="1"/>
  <c r="I79" i="16"/>
  <c r="K79" i="16" s="1"/>
  <c r="G95" i="16"/>
  <c r="J95" i="16" s="1"/>
  <c r="E9" i="13"/>
  <c r="G9" i="13"/>
  <c r="C10" i="13"/>
  <c r="H20" i="13" s="1"/>
  <c r="E7" i="15"/>
  <c r="G7" i="15" s="1"/>
  <c r="D9" i="15"/>
  <c r="C23" i="15" s="1"/>
  <c r="E23" i="15" s="1"/>
  <c r="D8" i="15"/>
  <c r="C22" i="15" s="1"/>
  <c r="E22" i="15" s="1"/>
  <c r="D7" i="15"/>
  <c r="C21" i="15" s="1"/>
  <c r="E21" i="15" s="1"/>
  <c r="D6" i="15"/>
  <c r="C20" i="15" s="1"/>
  <c r="E20" i="15" s="1"/>
  <c r="D5" i="15"/>
  <c r="C19" i="15" s="1"/>
  <c r="E19" i="15" s="1"/>
  <c r="D4" i="15"/>
  <c r="C18" i="15" s="1"/>
  <c r="E18" i="15" s="1"/>
  <c r="K33" i="16" l="1"/>
  <c r="O33" i="16" s="1"/>
  <c r="P58" i="16"/>
  <c r="P59" i="16" s="1"/>
  <c r="U67" i="16" s="1"/>
  <c r="T70" i="16" s="1"/>
  <c r="R72" i="16" s="1"/>
  <c r="E24" i="15"/>
  <c r="D26" i="15" s="1"/>
  <c r="E26" i="15" s="1"/>
  <c r="E8" i="15"/>
  <c r="G8" i="15" s="1"/>
  <c r="E4" i="15"/>
  <c r="G4" i="15" s="1"/>
  <c r="E6" i="15"/>
  <c r="G6" i="15" s="1"/>
  <c r="E9" i="15"/>
  <c r="G9" i="15" s="1"/>
  <c r="E5" i="15"/>
  <c r="G5" i="15" s="1"/>
  <c r="B11" i="13"/>
  <c r="D10" i="13"/>
  <c r="E41" i="14"/>
  <c r="L59" i="14"/>
  <c r="J58" i="14"/>
  <c r="H58" i="14"/>
  <c r="I42" i="14"/>
  <c r="J41" i="14"/>
  <c r="J59" i="14"/>
  <c r="P40" i="14"/>
  <c r="I38" i="14"/>
  <c r="H41" i="14" s="1"/>
  <c r="I10" i="14"/>
  <c r="I11" i="14" s="1"/>
  <c r="I12" i="14" s="1"/>
  <c r="I13" i="14" s="1"/>
  <c r="I14" i="14" s="1"/>
  <c r="I15" i="14" s="1"/>
  <c r="G16" i="14"/>
  <c r="G19" i="14" s="1"/>
  <c r="H15" i="14"/>
  <c r="H14" i="14"/>
  <c r="C36" i="14"/>
  <c r="C37" i="14" s="1"/>
  <c r="C38" i="14" s="1"/>
  <c r="C39" i="14" s="1"/>
  <c r="H13" i="14"/>
  <c r="C31" i="14"/>
  <c r="C32" i="14" s="1"/>
  <c r="C33" i="14" s="1"/>
  <c r="C34" i="14" s="1"/>
  <c r="H12" i="14"/>
  <c r="C29" i="14"/>
  <c r="H11" i="14"/>
  <c r="H10" i="14"/>
  <c r="C10" i="14"/>
  <c r="C11" i="14" s="1"/>
  <c r="C12" i="14" s="1"/>
  <c r="C13" i="14" s="1"/>
  <c r="C14" i="14" s="1"/>
  <c r="C15" i="14" s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26" i="14" s="1"/>
  <c r="C27" i="14" s="1"/>
  <c r="C3" i="14"/>
  <c r="C4" i="14" s="1"/>
  <c r="C5" i="14" s="1"/>
  <c r="C6" i="14" s="1"/>
  <c r="C7" i="14" s="1"/>
  <c r="C8" i="14" s="1"/>
  <c r="E10" i="14"/>
  <c r="F10" i="14" s="1"/>
  <c r="E11" i="14" s="1"/>
  <c r="L7" i="14" s="1"/>
  <c r="M7" i="14" s="1"/>
  <c r="G2" i="14"/>
  <c r="E2" i="14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E4" i="14" s="1"/>
  <c r="G4" i="14" s="1"/>
  <c r="E7" i="14" s="1"/>
  <c r="G80" i="16" l="1"/>
  <c r="H80" i="16" s="1"/>
  <c r="U16" i="16"/>
  <c r="P33" i="16"/>
  <c r="K37" i="16"/>
  <c r="P40" i="16" s="1"/>
  <c r="M45" i="16" s="1"/>
  <c r="J47" i="16" s="1"/>
  <c r="G10" i="15"/>
  <c r="D12" i="15" s="1"/>
  <c r="E12" i="15" s="1"/>
  <c r="E14" i="15" s="1"/>
  <c r="I2" i="14"/>
  <c r="E6" i="14" s="1"/>
  <c r="G6" i="14" s="1"/>
  <c r="C24" i="13"/>
  <c r="I9" i="13"/>
  <c r="J13" i="13" s="1"/>
  <c r="C11" i="13"/>
  <c r="E10" i="13"/>
  <c r="G10" i="13"/>
  <c r="J10" i="14"/>
  <c r="K10" i="14" s="1"/>
  <c r="H16" i="14"/>
  <c r="G22" i="14"/>
  <c r="I22" i="14" s="1"/>
  <c r="F58" i="14"/>
  <c r="F11" i="14"/>
  <c r="F41" i="14"/>
  <c r="H44" i="14"/>
  <c r="H59" i="14"/>
  <c r="H61" i="14" s="1"/>
  <c r="F62" i="14"/>
  <c r="L60" i="9"/>
  <c r="R116" i="9"/>
  <c r="R104" i="9"/>
  <c r="R108" i="9" s="1"/>
  <c r="U83" i="9"/>
  <c r="U82" i="9"/>
  <c r="U81" i="9"/>
  <c r="X117" i="9" s="1"/>
  <c r="U80" i="9"/>
  <c r="T116" i="9" s="1"/>
  <c r="T117" i="9" s="1"/>
  <c r="U79" i="9"/>
  <c r="V117" i="9" s="1"/>
  <c r="U78" i="9"/>
  <c r="W78" i="9" s="1"/>
  <c r="W79" i="9" s="1"/>
  <c r="S80" i="9"/>
  <c r="W104" i="9" s="1"/>
  <c r="S78" i="9"/>
  <c r="R79" i="9" s="1"/>
  <c r="S79" i="9" s="1"/>
  <c r="T79" i="9" s="1"/>
  <c r="R120" i="9"/>
  <c r="X61" i="9"/>
  <c r="V61" i="9"/>
  <c r="V60" i="9"/>
  <c r="T60" i="9"/>
  <c r="T61" i="9" s="1"/>
  <c r="R60" i="9"/>
  <c r="R64" i="9" s="1"/>
  <c r="U49" i="9"/>
  <c r="V48" i="9"/>
  <c r="R48" i="9"/>
  <c r="R52" i="9" s="1"/>
  <c r="W22" i="9"/>
  <c r="W23" i="9" s="1"/>
  <c r="W24" i="9" s="1"/>
  <c r="W25" i="9" s="1"/>
  <c r="S29" i="9"/>
  <c r="T29" i="9" s="1"/>
  <c r="V29" i="9" s="1"/>
  <c r="S28" i="9"/>
  <c r="T28" i="9" s="1"/>
  <c r="V28" i="9" s="1"/>
  <c r="S27" i="9"/>
  <c r="T27" i="9" s="1"/>
  <c r="V27" i="9" s="1"/>
  <c r="S26" i="9"/>
  <c r="T26" i="9" s="1"/>
  <c r="V26" i="9" s="1"/>
  <c r="S25" i="9"/>
  <c r="Y60" i="9" s="1"/>
  <c r="U63" i="9" s="1"/>
  <c r="S24" i="9"/>
  <c r="T24" i="9" s="1"/>
  <c r="V24" i="9" s="1"/>
  <c r="S23" i="9"/>
  <c r="T23" i="9" s="1"/>
  <c r="V23" i="9" s="1"/>
  <c r="S22" i="9"/>
  <c r="T22" i="9" s="1"/>
  <c r="V22" i="9" s="1"/>
  <c r="G95" i="9"/>
  <c r="D75" i="9"/>
  <c r="E64" i="9"/>
  <c r="F75" i="9"/>
  <c r="AA16" i="16" l="1"/>
  <c r="V16" i="16"/>
  <c r="W16" i="16" s="1"/>
  <c r="I80" i="16"/>
  <c r="K80" i="16" s="1"/>
  <c r="G96" i="16"/>
  <c r="J96" i="16" s="1"/>
  <c r="T80" i="9"/>
  <c r="V80" i="9" s="1"/>
  <c r="T63" i="9"/>
  <c r="R81" i="9"/>
  <c r="S81" i="9" s="1"/>
  <c r="U105" i="9"/>
  <c r="W80" i="9"/>
  <c r="W81" i="9" s="1"/>
  <c r="B12" i="13"/>
  <c r="C12" i="13" s="1"/>
  <c r="B13" i="13" s="1"/>
  <c r="Q9" i="13"/>
  <c r="L13" i="13" s="1"/>
  <c r="N13" i="13" s="1"/>
  <c r="D11" i="13"/>
  <c r="G11" i="13" s="1"/>
  <c r="E24" i="13"/>
  <c r="G24" i="13" s="1"/>
  <c r="C13" i="13"/>
  <c r="B14" i="13" s="1"/>
  <c r="T64" i="9"/>
  <c r="V64" i="9" s="1"/>
  <c r="V104" i="9"/>
  <c r="T78" i="9"/>
  <c r="V78" i="9" s="1"/>
  <c r="V116" i="9"/>
  <c r="T119" i="9" s="1"/>
  <c r="T25" i="9"/>
  <c r="V25" i="9" s="1"/>
  <c r="V30" i="9" s="1"/>
  <c r="T32" i="9" s="1"/>
  <c r="W48" i="9"/>
  <c r="U51" i="9" s="1"/>
  <c r="F45" i="14"/>
  <c r="M58" i="14"/>
  <c r="I61" i="14" s="1"/>
  <c r="H62" i="14" s="1"/>
  <c r="J62" i="14" s="1"/>
  <c r="K41" i="14"/>
  <c r="E12" i="14"/>
  <c r="F12" i="14" s="1"/>
  <c r="J11" i="14"/>
  <c r="K11" i="14" s="1"/>
  <c r="V79" i="9"/>
  <c r="U107" i="9"/>
  <c r="G3" i="13"/>
  <c r="H3" i="13" s="1"/>
  <c r="D5" i="13"/>
  <c r="B6" i="13" s="1"/>
  <c r="B4" i="13"/>
  <c r="G82" i="16" l="1"/>
  <c r="H82" i="16" s="1"/>
  <c r="U18" i="16"/>
  <c r="G81" i="16"/>
  <c r="H81" i="16" s="1"/>
  <c r="U17" i="16"/>
  <c r="E11" i="13"/>
  <c r="D12" i="13"/>
  <c r="E12" i="13" s="1"/>
  <c r="C14" i="13"/>
  <c r="D14" i="13" s="1"/>
  <c r="G14" i="13" s="1"/>
  <c r="D13" i="13"/>
  <c r="R82" i="9"/>
  <c r="Y116" i="9"/>
  <c r="U119" i="9" s="1"/>
  <c r="T120" i="9" s="1"/>
  <c r="V120" i="9" s="1"/>
  <c r="T81" i="9"/>
  <c r="V81" i="9" s="1"/>
  <c r="I44" i="14"/>
  <c r="H45" i="14" s="1"/>
  <c r="J45" i="14" s="1"/>
  <c r="E13" i="14"/>
  <c r="F13" i="14" s="1"/>
  <c r="C15" i="12"/>
  <c r="G104" i="16" l="1"/>
  <c r="K104" i="16" s="1"/>
  <c r="Q24" i="16"/>
  <c r="AA18" i="16"/>
  <c r="V18" i="16"/>
  <c r="W18" i="16" s="1"/>
  <c r="G12" i="13"/>
  <c r="AA17" i="16"/>
  <c r="V17" i="16"/>
  <c r="W17" i="16" s="1"/>
  <c r="I82" i="16"/>
  <c r="K82" i="16" s="1"/>
  <c r="G98" i="16"/>
  <c r="J98" i="16" s="1"/>
  <c r="I81" i="16"/>
  <c r="K81" i="16" s="1"/>
  <c r="G97" i="16"/>
  <c r="J97" i="16" s="1"/>
  <c r="E13" i="13"/>
  <c r="G13" i="13"/>
  <c r="G15" i="13" s="1"/>
  <c r="E14" i="13"/>
  <c r="E15" i="13" s="1"/>
  <c r="C16" i="13" s="1"/>
  <c r="S82" i="9"/>
  <c r="R83" i="9" s="1"/>
  <c r="J12" i="14"/>
  <c r="K12" i="14" s="1"/>
  <c r="E14" i="14"/>
  <c r="F14" i="14" s="1"/>
  <c r="G83" i="16" l="1"/>
  <c r="H83" i="16" s="1"/>
  <c r="U19" i="16"/>
  <c r="G84" i="16"/>
  <c r="H84" i="16" s="1"/>
  <c r="U20" i="16"/>
  <c r="S83" i="9"/>
  <c r="R84" i="9" s="1"/>
  <c r="T82" i="9"/>
  <c r="V82" i="9" s="1"/>
  <c r="E15" i="14"/>
  <c r="F15" i="14" s="1"/>
  <c r="J13" i="14"/>
  <c r="K13" i="14" s="1"/>
  <c r="H78" i="11"/>
  <c r="H79" i="11" s="1"/>
  <c r="H81" i="11" s="1"/>
  <c r="I84" i="16" l="1"/>
  <c r="K84" i="16" s="1"/>
  <c r="G100" i="16"/>
  <c r="J100" i="16" s="1"/>
  <c r="AA19" i="16"/>
  <c r="V19" i="16"/>
  <c r="W19" i="16" s="1"/>
  <c r="AA20" i="16"/>
  <c r="V20" i="16"/>
  <c r="W20" i="16" s="1"/>
  <c r="W21" i="16" s="1"/>
  <c r="W23" i="16" s="1"/>
  <c r="X23" i="16" s="1"/>
  <c r="X25" i="16" s="1"/>
  <c r="I83" i="16"/>
  <c r="K83" i="16" s="1"/>
  <c r="G99" i="16"/>
  <c r="J99" i="16" s="1"/>
  <c r="S84" i="9"/>
  <c r="T84" i="9" s="1"/>
  <c r="V84" i="9" s="1"/>
  <c r="T83" i="9"/>
  <c r="V83" i="9" s="1"/>
  <c r="V86" i="9" s="1"/>
  <c r="T88" i="9" s="1"/>
  <c r="J15" i="14"/>
  <c r="K15" i="14" s="1"/>
  <c r="J14" i="14"/>
  <c r="K14" i="14" s="1"/>
  <c r="B4" i="12"/>
  <c r="B7" i="12" s="1"/>
  <c r="C6" i="12" s="1"/>
  <c r="C9" i="12" s="1"/>
  <c r="AA21" i="16" l="1"/>
  <c r="AC22" i="16" s="1"/>
  <c r="J101" i="16"/>
  <c r="J103" i="16" s="1"/>
  <c r="K86" i="16"/>
  <c r="K88" i="16" s="1"/>
  <c r="K89" i="16" s="1"/>
  <c r="L89" i="16" s="1"/>
  <c r="K16" i="14"/>
  <c r="G18" i="14" s="1"/>
  <c r="H18" i="14" s="1"/>
  <c r="J62" i="8"/>
  <c r="J63" i="8" s="1"/>
  <c r="F56" i="8"/>
  <c r="F91" i="8"/>
  <c r="G91" i="8" s="1"/>
  <c r="K69" i="11" l="1"/>
  <c r="D93" i="8" l="1"/>
  <c r="C91" i="8"/>
  <c r="C90" i="8"/>
  <c r="I11" i="11"/>
  <c r="G15" i="11"/>
  <c r="G16" i="11"/>
  <c r="G17" i="11"/>
  <c r="G18" i="11"/>
  <c r="G19" i="11"/>
  <c r="T59" i="11"/>
  <c r="S59" i="11"/>
  <c r="U59" i="11" s="1"/>
  <c r="S57" i="11"/>
  <c r="S56" i="11"/>
  <c r="S52" i="11"/>
  <c r="T52" i="11" s="1"/>
  <c r="V52" i="11" s="1"/>
  <c r="W55" i="11" s="1"/>
  <c r="C93" i="8" l="1"/>
  <c r="C94" i="8" s="1"/>
  <c r="E94" i="8" s="1"/>
  <c r="L69" i="8" s="1"/>
  <c r="T56" i="11"/>
  <c r="U56" i="11" s="1"/>
  <c r="V57" i="11" s="1"/>
  <c r="N11" i="11"/>
  <c r="I14" i="11"/>
  <c r="I15" i="11" s="1"/>
  <c r="I16" i="11" s="1"/>
  <c r="I17" i="11" s="1"/>
  <c r="I18" i="11" s="1"/>
  <c r="I19" i="11" s="1"/>
  <c r="P11" i="11"/>
  <c r="K68" i="11" l="1"/>
  <c r="K71" i="11" s="1"/>
  <c r="M71" i="11" s="1"/>
  <c r="H68" i="11"/>
  <c r="K64" i="11"/>
  <c r="E63" i="11"/>
  <c r="D64" i="11" s="1"/>
  <c r="E64" i="11" s="1"/>
  <c r="D65" i="11" s="1"/>
  <c r="E65" i="11" s="1"/>
  <c r="D66" i="11" s="1"/>
  <c r="E66" i="11" s="1"/>
  <c r="D67" i="11" s="1"/>
  <c r="E67" i="11" s="1"/>
  <c r="E62" i="11"/>
  <c r="K56" i="11"/>
  <c r="K55" i="11"/>
  <c r="K58" i="11" s="1"/>
  <c r="K59" i="11" s="1"/>
  <c r="H55" i="11"/>
  <c r="H59" i="11" s="1"/>
  <c r="E51" i="11"/>
  <c r="D52" i="11" s="1"/>
  <c r="E52" i="11" s="1"/>
  <c r="D53" i="11" s="1"/>
  <c r="E53" i="11" s="1"/>
  <c r="D54" i="11" s="1"/>
  <c r="E54" i="11" s="1"/>
  <c r="D55" i="11" s="1"/>
  <c r="E55" i="11" s="1"/>
  <c r="E50" i="11"/>
  <c r="M59" i="11" l="1"/>
  <c r="G44" i="11"/>
  <c r="E44" i="11"/>
  <c r="E45" i="11" s="1"/>
  <c r="K41" i="11"/>
  <c r="H44" i="11" s="1"/>
  <c r="G38" i="11"/>
  <c r="J38" i="11" s="1"/>
  <c r="G36" i="11"/>
  <c r="G32" i="11"/>
  <c r="G34" i="11" s="1"/>
  <c r="F33" i="11"/>
  <c r="H42" i="11" s="1"/>
  <c r="F32" i="11"/>
  <c r="F31" i="11"/>
  <c r="L15" i="11"/>
  <c r="N15" i="11" s="1"/>
  <c r="H20" i="11"/>
  <c r="D76" i="11" s="1"/>
  <c r="D79" i="11" s="1"/>
  <c r="C24" i="11"/>
  <c r="C25" i="11" s="1"/>
  <c r="C26" i="11" s="1"/>
  <c r="C27" i="11" s="1"/>
  <c r="C28" i="11" s="1"/>
  <c r="C29" i="11" s="1"/>
  <c r="C30" i="11" s="1"/>
  <c r="C31" i="11" s="1"/>
  <c r="C32" i="11" s="1"/>
  <c r="C16" i="11"/>
  <c r="C17" i="11" s="1"/>
  <c r="C18" i="11" s="1"/>
  <c r="C19" i="11" s="1"/>
  <c r="C20" i="11" s="1"/>
  <c r="C21" i="11" s="1"/>
  <c r="C22" i="11" s="1"/>
  <c r="C6" i="11"/>
  <c r="C7" i="11" s="1"/>
  <c r="C8" i="11" s="1"/>
  <c r="C9" i="11" s="1"/>
  <c r="C10" i="11" s="1"/>
  <c r="C11" i="11" s="1"/>
  <c r="C12" i="11" s="1"/>
  <c r="C13" i="11" s="1"/>
  <c r="C14" i="11" s="1"/>
  <c r="F14" i="11"/>
  <c r="G14" i="11" s="1"/>
  <c r="F7" i="11"/>
  <c r="F10" i="11" s="1"/>
  <c r="F3" i="11"/>
  <c r="F2" i="11"/>
  <c r="F4" i="11" l="1"/>
  <c r="F9" i="11" s="1"/>
  <c r="G9" i="11" s="1"/>
  <c r="G45" i="11"/>
  <c r="J45" i="11"/>
  <c r="L14" i="11"/>
  <c r="N14" i="11" s="1"/>
  <c r="O14" i="11" s="1"/>
  <c r="P14" i="11" s="1"/>
  <c r="J15" i="11"/>
  <c r="J17" i="11"/>
  <c r="J19" i="11"/>
  <c r="F24" i="11"/>
  <c r="G27" i="11" s="1"/>
  <c r="H27" i="11" s="1"/>
  <c r="J14" i="11"/>
  <c r="J16" i="11"/>
  <c r="J18" i="11"/>
  <c r="L16" i="11"/>
  <c r="M15" i="11"/>
  <c r="O15" i="11"/>
  <c r="P15" i="11" s="1"/>
  <c r="Q15" i="11"/>
  <c r="Q14" i="11"/>
  <c r="I57" i="8"/>
  <c r="H47" i="8"/>
  <c r="H48" i="8"/>
  <c r="H49" i="8"/>
  <c r="H50" i="8"/>
  <c r="H51" i="8"/>
  <c r="H52" i="8"/>
  <c r="H46" i="8"/>
  <c r="L46" i="8" s="1"/>
  <c r="D72" i="8"/>
  <c r="E72" i="8"/>
  <c r="B69" i="8"/>
  <c r="B74" i="8" s="1"/>
  <c r="E62" i="8"/>
  <c r="C64" i="8"/>
  <c r="I58" i="8"/>
  <c r="F62" i="8" s="1"/>
  <c r="F48" i="8"/>
  <c r="C56" i="8"/>
  <c r="E53" i="8"/>
  <c r="I46" i="8" l="1"/>
  <c r="M14" i="11"/>
  <c r="D80" i="8"/>
  <c r="O57" i="8"/>
  <c r="N60" i="8" s="1"/>
  <c r="I52" i="8"/>
  <c r="L52" i="8"/>
  <c r="I50" i="8"/>
  <c r="L50" i="8"/>
  <c r="I48" i="8"/>
  <c r="L48" i="8"/>
  <c r="C55" i="8"/>
  <c r="D55" i="8" s="1"/>
  <c r="E58" i="8" s="1"/>
  <c r="E64" i="8"/>
  <c r="G64" i="8" s="1"/>
  <c r="D74" i="8"/>
  <c r="F74" i="8" s="1"/>
  <c r="O46" i="8"/>
  <c r="M46" i="8"/>
  <c r="N46" i="8" s="1"/>
  <c r="I51" i="8"/>
  <c r="L51" i="8"/>
  <c r="I49" i="8"/>
  <c r="L49" i="8"/>
  <c r="I47" i="8"/>
  <c r="L47" i="8"/>
  <c r="J20" i="11"/>
  <c r="K14" i="11"/>
  <c r="K15" i="11" s="1"/>
  <c r="K16" i="11" s="1"/>
  <c r="K17" i="11" s="1"/>
  <c r="K18" i="11" s="1"/>
  <c r="K19" i="11" s="1"/>
  <c r="L17" i="11"/>
  <c r="N16" i="11"/>
  <c r="M16" i="11"/>
  <c r="H3" i="8"/>
  <c r="I53" i="8" l="1"/>
  <c r="O47" i="8"/>
  <c r="M47" i="8"/>
  <c r="N47" i="8" s="1"/>
  <c r="O49" i="8"/>
  <c r="M49" i="8"/>
  <c r="N49" i="8" s="1"/>
  <c r="O51" i="8"/>
  <c r="M51" i="8"/>
  <c r="N51" i="8" s="1"/>
  <c r="O48" i="8"/>
  <c r="M48" i="8"/>
  <c r="N48" i="8" s="1"/>
  <c r="O50" i="8"/>
  <c r="M50" i="8"/>
  <c r="N50" i="8" s="1"/>
  <c r="N53" i="8" s="1"/>
  <c r="N59" i="8" s="1"/>
  <c r="O59" i="8" s="1"/>
  <c r="P59" i="8" s="1"/>
  <c r="P61" i="8" s="1"/>
  <c r="O52" i="8"/>
  <c r="M52" i="8"/>
  <c r="N52" i="8" s="1"/>
  <c r="K53" i="8"/>
  <c r="L68" i="8" s="1"/>
  <c r="D79" i="8"/>
  <c r="E79" i="8" s="1"/>
  <c r="L19" i="11"/>
  <c r="L18" i="11"/>
  <c r="Q16" i="11"/>
  <c r="O16" i="11"/>
  <c r="P16" i="11" s="1"/>
  <c r="N17" i="11"/>
  <c r="M17" i="11"/>
  <c r="A61" i="2"/>
  <c r="B61" i="2"/>
  <c r="C61" i="2"/>
  <c r="D61" i="2"/>
  <c r="E61" i="2"/>
  <c r="F61" i="2"/>
  <c r="G61" i="2"/>
  <c r="H61" i="2"/>
  <c r="I61" i="2"/>
  <c r="J61" i="2"/>
  <c r="O53" i="8" l="1"/>
  <c r="O56" i="8" s="1"/>
  <c r="P56" i="8" s="1"/>
  <c r="L70" i="8" s="1"/>
  <c r="K61" i="2"/>
  <c r="L61" i="2" s="1"/>
  <c r="N19" i="11"/>
  <c r="M19" i="11"/>
  <c r="N18" i="11"/>
  <c r="M18" i="11"/>
  <c r="O17" i="11"/>
  <c r="P17" i="11" s="1"/>
  <c r="Q17" i="11"/>
  <c r="F12" i="1"/>
  <c r="E13" i="1" s="1"/>
  <c r="F13" i="1" s="1"/>
  <c r="H5" i="1"/>
  <c r="M20" i="11" l="1"/>
  <c r="F23" i="11" s="1"/>
  <c r="G23" i="11" s="1"/>
  <c r="Q18" i="11"/>
  <c r="O18" i="11"/>
  <c r="P18" i="11" s="1"/>
  <c r="O19" i="11"/>
  <c r="P19" i="11" s="1"/>
  <c r="Q19" i="11"/>
  <c r="E40" i="8"/>
  <c r="E41" i="8" s="1"/>
  <c r="G41" i="8" s="1"/>
  <c r="E37" i="8"/>
  <c r="F34" i="8"/>
  <c r="E32" i="8"/>
  <c r="C32" i="8"/>
  <c r="C37" i="8" s="1"/>
  <c r="E29" i="8"/>
  <c r="I33" i="8" s="1"/>
  <c r="D19" i="8"/>
  <c r="D18" i="8"/>
  <c r="D26" i="8" s="1"/>
  <c r="G32" i="8" s="1"/>
  <c r="P20" i="11" l="1"/>
  <c r="D78" i="11" s="1"/>
  <c r="E78" i="11" s="1"/>
  <c r="E82" i="11" s="1"/>
  <c r="E83" i="11" s="1"/>
  <c r="E85" i="11" s="1"/>
  <c r="Q20" i="11"/>
  <c r="H29" i="9"/>
  <c r="H112" i="9" s="1"/>
  <c r="G131" i="9" s="1"/>
  <c r="H28" i="9"/>
  <c r="H27" i="9"/>
  <c r="H25" i="9"/>
  <c r="H108" i="9" s="1"/>
  <c r="G127" i="9" s="1"/>
  <c r="H24" i="9"/>
  <c r="H107" i="9" s="1"/>
  <c r="G126" i="9" s="1"/>
  <c r="H23" i="9"/>
  <c r="H106" i="9" s="1"/>
  <c r="G125" i="9" s="1"/>
  <c r="H22" i="9"/>
  <c r="H105" i="9" s="1"/>
  <c r="G124" i="9" s="1"/>
  <c r="D18" i="9"/>
  <c r="F18" i="9" s="1"/>
  <c r="F14" i="9"/>
  <c r="F22" i="9"/>
  <c r="H14" i="9"/>
  <c r="O9" i="9"/>
  <c r="I38" i="9"/>
  <c r="K41" i="9"/>
  <c r="I17" i="9"/>
  <c r="K43" i="9" l="1"/>
  <c r="H111" i="9"/>
  <c r="G130" i="9" s="1"/>
  <c r="K42" i="9"/>
  <c r="H110" i="9"/>
  <c r="G129" i="9" s="1"/>
  <c r="K39" i="9"/>
  <c r="B71" i="9"/>
  <c r="B72" i="9"/>
  <c r="F94" i="9"/>
  <c r="F95" i="9" s="1"/>
  <c r="H12" i="9"/>
  <c r="T33" i="9"/>
  <c r="K40" i="9"/>
  <c r="E91" i="9"/>
  <c r="B73" i="9"/>
  <c r="D76" i="9" s="1"/>
  <c r="D78" i="9" s="1"/>
  <c r="E62" i="9"/>
  <c r="J14" i="9"/>
  <c r="J22" i="9"/>
  <c r="J23" i="9" s="1"/>
  <c r="J24" i="9" s="1"/>
  <c r="B70" i="9"/>
  <c r="F61" i="9"/>
  <c r="D75" i="11"/>
  <c r="E75" i="11" s="1"/>
  <c r="H30" i="9"/>
  <c r="I25" i="9" s="1"/>
  <c r="K38" i="9"/>
  <c r="G22" i="9"/>
  <c r="F23" i="9" s="1"/>
  <c r="E9" i="8"/>
  <c r="E7" i="8"/>
  <c r="E5" i="8"/>
  <c r="C10" i="8"/>
  <c r="C12" i="8" s="1"/>
  <c r="I28" i="9" l="1"/>
  <c r="I23" i="9"/>
  <c r="D94" i="9"/>
  <c r="F91" i="9"/>
  <c r="G91" i="9"/>
  <c r="H91" i="9" s="1"/>
  <c r="I24" i="9"/>
  <c r="D58" i="9"/>
  <c r="I34" i="9"/>
  <c r="T35" i="9"/>
  <c r="T48" i="9" s="1"/>
  <c r="T51" i="9" s="1"/>
  <c r="T52" i="9" s="1"/>
  <c r="V52" i="9" s="1"/>
  <c r="U32" i="9"/>
  <c r="K22" i="9"/>
  <c r="C72" i="9"/>
  <c r="F9" i="8"/>
  <c r="J25" i="9"/>
  <c r="K24" i="9"/>
  <c r="L22" i="9"/>
  <c r="I26" i="9"/>
  <c r="I27" i="9"/>
  <c r="I29" i="9"/>
  <c r="K23" i="9"/>
  <c r="I22" i="9"/>
  <c r="G23" i="9"/>
  <c r="F24" i="9" s="1"/>
  <c r="B11" i="6"/>
  <c r="B12" i="6"/>
  <c r="B13" i="6"/>
  <c r="B14" i="6"/>
  <c r="B10" i="6"/>
  <c r="M22" i="9" l="1"/>
  <c r="E105" i="9"/>
  <c r="E124" i="9" s="1"/>
  <c r="E58" i="9"/>
  <c r="D61" i="9" s="1"/>
  <c r="D64" i="9" s="1"/>
  <c r="D65" i="9" s="1"/>
  <c r="T89" i="9"/>
  <c r="D95" i="9"/>
  <c r="D97" i="9"/>
  <c r="K25" i="9"/>
  <c r="J26" i="9"/>
  <c r="I30" i="9"/>
  <c r="L23" i="9"/>
  <c r="G24" i="9"/>
  <c r="F25" i="9" s="1"/>
  <c r="K37" i="9"/>
  <c r="L43" i="9" s="1"/>
  <c r="J38" i="9" s="1"/>
  <c r="I40" i="9" s="1"/>
  <c r="F15" i="6"/>
  <c r="G11" i="6"/>
  <c r="G12" i="6"/>
  <c r="G13" i="6"/>
  <c r="G14" i="6"/>
  <c r="G10" i="6"/>
  <c r="M23" i="9" l="1"/>
  <c r="E106" i="9"/>
  <c r="E125" i="9" s="1"/>
  <c r="T91" i="9"/>
  <c r="T104" i="9" s="1"/>
  <c r="T107" i="9" s="1"/>
  <c r="T108" i="9" s="1"/>
  <c r="V108" i="9" s="1"/>
  <c r="U88" i="9"/>
  <c r="C91" i="9"/>
  <c r="B61" i="9"/>
  <c r="G15" i="6"/>
  <c r="H16" i="6" s="1"/>
  <c r="G25" i="9"/>
  <c r="F26" i="9" s="1"/>
  <c r="J27" i="9"/>
  <c r="K26" i="9"/>
  <c r="L24" i="9"/>
  <c r="L31" i="3"/>
  <c r="M25" i="3"/>
  <c r="M28" i="3" s="1"/>
  <c r="M24" i="3"/>
  <c r="M27" i="3" s="1"/>
  <c r="M30" i="3" s="1"/>
  <c r="M31" i="3" s="1"/>
  <c r="O31" i="3" s="1"/>
  <c r="M21" i="3"/>
  <c r="K21" i="3"/>
  <c r="E29" i="3"/>
  <c r="F22" i="3"/>
  <c r="F23" i="3" s="1"/>
  <c r="F24" i="3" s="1"/>
  <c r="F25" i="3" s="1"/>
  <c r="F26" i="3" s="1"/>
  <c r="F27" i="3" s="1"/>
  <c r="F28" i="3" s="1"/>
  <c r="D23" i="3"/>
  <c r="D36" i="3" s="1"/>
  <c r="D24" i="3"/>
  <c r="D37" i="3" s="1"/>
  <c r="D25" i="3"/>
  <c r="D38" i="3" s="1"/>
  <c r="D26" i="3"/>
  <c r="D39" i="3" s="1"/>
  <c r="D27" i="3"/>
  <c r="D40" i="3" s="1"/>
  <c r="D28" i="3"/>
  <c r="D41" i="3" s="1"/>
  <c r="D22" i="3"/>
  <c r="D35" i="3" s="1"/>
  <c r="E17" i="3"/>
  <c r="M24" i="9" l="1"/>
  <c r="E107" i="9"/>
  <c r="E126" i="9" s="1"/>
  <c r="L25" i="9"/>
  <c r="D91" i="9"/>
  <c r="B94" i="9"/>
  <c r="B98" i="9" s="1"/>
  <c r="B65" i="9"/>
  <c r="F65" i="9" s="1"/>
  <c r="B75" i="9"/>
  <c r="B78" i="9" s="1"/>
  <c r="F78" i="9" s="1"/>
  <c r="D42" i="3"/>
  <c r="E42" i="3" s="1"/>
  <c r="K27" i="9"/>
  <c r="J28" i="9"/>
  <c r="G26" i="9"/>
  <c r="F27" i="9" s="1"/>
  <c r="M4" i="2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5" i="9" l="1"/>
  <c r="E108" i="9"/>
  <c r="E127" i="9" s="1"/>
  <c r="I91" i="9"/>
  <c r="J91" i="9" s="1"/>
  <c r="H94" i="9"/>
  <c r="E97" i="9" s="1"/>
  <c r="D98" i="9" s="1"/>
  <c r="F98" i="9" s="1"/>
  <c r="G27" i="9"/>
  <c r="F28" i="9" s="1"/>
  <c r="L26" i="9"/>
  <c r="J29" i="9"/>
  <c r="K29" i="9" s="1"/>
  <c r="K28" i="9"/>
  <c r="D8" i="2"/>
  <c r="E8" i="2"/>
  <c r="F8" i="2"/>
  <c r="G8" i="2"/>
  <c r="H8" i="2"/>
  <c r="I8" i="2"/>
  <c r="M26" i="9" l="1"/>
  <c r="E109" i="9"/>
  <c r="L27" i="9"/>
  <c r="G28" i="9"/>
  <c r="F29" i="9" s="1"/>
  <c r="J8" i="2"/>
  <c r="K8" i="2" s="1"/>
  <c r="J33" i="1"/>
  <c r="J32" i="1"/>
  <c r="H28" i="1"/>
  <c r="E128" i="9" l="1"/>
  <c r="M27" i="9"/>
  <c r="E110" i="9"/>
  <c r="L28" i="9"/>
  <c r="G29" i="9"/>
  <c r="L29" i="9" s="1"/>
  <c r="B57" i="1"/>
  <c r="B58" i="1" s="1"/>
  <c r="B59" i="1" s="1"/>
  <c r="J31" i="1" s="1"/>
  <c r="B51" i="1"/>
  <c r="B52" i="1" s="1"/>
  <c r="B53" i="1" s="1"/>
  <c r="B54" i="1" s="1"/>
  <c r="B55" i="1" s="1"/>
  <c r="J30" i="1" s="1"/>
  <c r="B43" i="1"/>
  <c r="B44" i="1" s="1"/>
  <c r="B45" i="1" s="1"/>
  <c r="B46" i="1" s="1"/>
  <c r="B47" i="1" s="1"/>
  <c r="B48" i="1" s="1"/>
  <c r="B49" i="1" s="1"/>
  <c r="B33" i="1"/>
  <c r="B34" i="1" s="1"/>
  <c r="B35" i="1" s="1"/>
  <c r="B36" i="1" s="1"/>
  <c r="B37" i="1" s="1"/>
  <c r="B38" i="1" s="1"/>
  <c r="B39" i="1" s="1"/>
  <c r="B40" i="1" s="1"/>
  <c r="B41" i="1" s="1"/>
  <c r="J29" i="1" s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9" i="1" s="1"/>
  <c r="B30" i="1" s="1"/>
  <c r="B31" i="1" s="1"/>
  <c r="E14" i="1"/>
  <c r="F14" i="1" s="1"/>
  <c r="C8" i="1"/>
  <c r="E129" i="9" l="1"/>
  <c r="M29" i="9"/>
  <c r="E112" i="9"/>
  <c r="M28" i="9"/>
  <c r="E111" i="9"/>
  <c r="M30" i="9"/>
  <c r="I33" i="9" s="1"/>
  <c r="J33" i="9" s="1"/>
  <c r="J28" i="1"/>
  <c r="E15" i="1"/>
  <c r="J27" i="1"/>
  <c r="K14" i="1"/>
  <c r="L14" i="1" s="1"/>
  <c r="K12" i="1"/>
  <c r="L12" i="1" s="1"/>
  <c r="K13" i="1"/>
  <c r="L13" i="1" s="1"/>
  <c r="G19" i="1"/>
  <c r="I12" i="1"/>
  <c r="H6" i="1"/>
  <c r="H7" i="1" s="1"/>
  <c r="C9" i="1" s="1"/>
  <c r="E8" i="1" s="1"/>
  <c r="D128" i="9" l="1"/>
  <c r="F128" i="9" s="1"/>
  <c r="H128" i="9" s="1"/>
  <c r="D125" i="9"/>
  <c r="F125" i="9" s="1"/>
  <c r="H125" i="9" s="1"/>
  <c r="D108" i="9"/>
  <c r="F108" i="9" s="1"/>
  <c r="G108" i="9" s="1"/>
  <c r="I108" i="9" s="1"/>
  <c r="D112" i="9"/>
  <c r="F112" i="9" s="1"/>
  <c r="G112" i="9" s="1"/>
  <c r="I112" i="9" s="1"/>
  <c r="D129" i="9"/>
  <c r="D130" i="9"/>
  <c r="D124" i="9"/>
  <c r="F124" i="9" s="1"/>
  <c r="H124" i="9" s="1"/>
  <c r="D109" i="9"/>
  <c r="F109" i="9" s="1"/>
  <c r="G109" i="9" s="1"/>
  <c r="I109" i="9" s="1"/>
  <c r="D105" i="9"/>
  <c r="F105" i="9" s="1"/>
  <c r="G105" i="9" s="1"/>
  <c r="I105" i="9" s="1"/>
  <c r="D126" i="9"/>
  <c r="F126" i="9" s="1"/>
  <c r="H126" i="9" s="1"/>
  <c r="D127" i="9"/>
  <c r="F127" i="9" s="1"/>
  <c r="H127" i="9" s="1"/>
  <c r="D106" i="9"/>
  <c r="F106" i="9" s="1"/>
  <c r="G106" i="9" s="1"/>
  <c r="I106" i="9" s="1"/>
  <c r="D110" i="9"/>
  <c r="F110" i="9" s="1"/>
  <c r="G110" i="9" s="1"/>
  <c r="I110" i="9" s="1"/>
  <c r="D131" i="9"/>
  <c r="D107" i="9"/>
  <c r="F107" i="9" s="1"/>
  <c r="G107" i="9" s="1"/>
  <c r="I107" i="9" s="1"/>
  <c r="D111" i="9"/>
  <c r="F111" i="9" s="1"/>
  <c r="G111" i="9" s="1"/>
  <c r="I111" i="9" s="1"/>
  <c r="E131" i="9"/>
  <c r="F131" i="9" s="1"/>
  <c r="H131" i="9" s="1"/>
  <c r="E130" i="9"/>
  <c r="F130" i="9" s="1"/>
  <c r="H130" i="9" s="1"/>
  <c r="F129" i="9"/>
  <c r="H129" i="9" s="1"/>
  <c r="H12" i="1"/>
  <c r="F40" i="1"/>
  <c r="K33" i="1"/>
  <c r="I28" i="1" s="1"/>
  <c r="H30" i="1" s="1"/>
  <c r="F15" i="1"/>
  <c r="K15" i="1" s="1"/>
  <c r="J12" i="1"/>
  <c r="I13" i="1"/>
  <c r="H24" i="1"/>
  <c r="H13" i="1"/>
  <c r="H15" i="1"/>
  <c r="H17" i="1"/>
  <c r="H14" i="1"/>
  <c r="H16" i="1"/>
  <c r="H18" i="1"/>
  <c r="H132" i="9" l="1"/>
  <c r="E134" i="9" s="1"/>
  <c r="F134" i="9" s="1"/>
  <c r="I113" i="9"/>
  <c r="D115" i="9" s="1"/>
  <c r="E115" i="9" s="1"/>
  <c r="G115" i="9" s="1"/>
  <c r="D119" i="9" s="1"/>
  <c r="L15" i="1"/>
  <c r="H19" i="1"/>
  <c r="E16" i="1"/>
  <c r="F16" i="1" s="1"/>
  <c r="E17" i="1" s="1"/>
  <c r="F17" i="1" s="1"/>
  <c r="E18" i="1" s="1"/>
  <c r="F18" i="1" s="1"/>
  <c r="I14" i="1"/>
  <c r="J13" i="1"/>
  <c r="K17" i="1" l="1"/>
  <c r="K16" i="1"/>
  <c r="K18" i="1"/>
  <c r="J14" i="1"/>
  <c r="I15" i="1"/>
  <c r="L16" i="1" l="1"/>
  <c r="L17" i="1"/>
  <c r="L18" i="1"/>
  <c r="I16" i="1"/>
  <c r="J15" i="1"/>
  <c r="L19" i="1" l="1"/>
  <c r="H23" i="1" s="1"/>
  <c r="I23" i="1" s="1"/>
  <c r="N13" i="1" s="1"/>
  <c r="O13" i="1" s="1"/>
  <c r="P13" i="1" s="1"/>
  <c r="N15" i="1"/>
  <c r="O15" i="1" s="1"/>
  <c r="P15" i="1" s="1"/>
  <c r="J16" i="1"/>
  <c r="I17" i="1"/>
  <c r="N18" i="1" l="1"/>
  <c r="O18" i="1" s="1"/>
  <c r="P18" i="1" s="1"/>
  <c r="N14" i="1"/>
  <c r="O14" i="1" s="1"/>
  <c r="P14" i="1" s="1"/>
  <c r="N17" i="1"/>
  <c r="O17" i="1" s="1"/>
  <c r="P17" i="1" s="1"/>
  <c r="N12" i="1"/>
  <c r="O12" i="1" s="1"/>
  <c r="P12" i="1" s="1"/>
  <c r="P19" i="1" s="1"/>
  <c r="F39" i="1" s="1"/>
  <c r="G39" i="1" s="1"/>
  <c r="H41" i="1" s="1"/>
  <c r="H43" i="1" s="1"/>
  <c r="N16" i="1"/>
  <c r="O16" i="1" s="1"/>
  <c r="P16" i="1" s="1"/>
  <c r="I18" i="1"/>
  <c r="J18" i="1" s="1"/>
  <c r="J17" i="1"/>
  <c r="N19" i="1" l="1"/>
  <c r="F46" i="1" s="1"/>
  <c r="G46" i="1" s="1"/>
  <c r="A2" i="11"/>
  <c r="A3" i="11" s="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G41" i="11" s="1"/>
</calcChain>
</file>

<file path=xl/sharedStrings.xml><?xml version="1.0" encoding="utf-8"?>
<sst xmlns="http://schemas.openxmlformats.org/spreadsheetml/2006/main" count="598" uniqueCount="219">
  <si>
    <t>n</t>
  </si>
  <si>
    <t>datos totales</t>
  </si>
  <si>
    <t>li-ls</t>
  </si>
  <si>
    <t>rango</t>
  </si>
  <si>
    <t>i=</t>
  </si>
  <si>
    <t>raiz cuadrada de n</t>
  </si>
  <si>
    <t>número de clases</t>
  </si>
  <si>
    <t>ancho de clase</t>
  </si>
  <si>
    <t>li - ls</t>
  </si>
  <si>
    <t>(k)</t>
  </si>
  <si>
    <t>k</t>
  </si>
  <si>
    <t>i</t>
  </si>
  <si>
    <t>LI</t>
  </si>
  <si>
    <t>LS</t>
  </si>
  <si>
    <t>=</t>
  </si>
  <si>
    <t>F</t>
  </si>
  <si>
    <t>FR</t>
  </si>
  <si>
    <t>FA</t>
  </si>
  <si>
    <t>FRA</t>
  </si>
  <si>
    <t>XE</t>
  </si>
  <si>
    <t>Fi Xe</t>
  </si>
  <si>
    <t>-</t>
  </si>
  <si>
    <t>X</t>
  </si>
  <si>
    <t>suma FIXe</t>
  </si>
  <si>
    <t>MEDIA ARITMETICA</t>
  </si>
  <si>
    <t>Suma de todos los valores divididos por su número</t>
  </si>
  <si>
    <t xml:space="preserve">MEDIANA </t>
  </si>
  <si>
    <t>la mitad de los datos</t>
  </si>
  <si>
    <t>n+1</t>
  </si>
  <si>
    <t>MARCA DE CLASE</t>
  </si>
  <si>
    <t>es el promedio estadistico.  Punto medio entre los limites de una clase.</t>
  </si>
  <si>
    <t>TAMAÑO DEL INTERVALO</t>
  </si>
  <si>
    <t>(Xe- X) a la 2</t>
  </si>
  <si>
    <t>x</t>
  </si>
  <si>
    <t>6 * 3=</t>
  </si>
  <si>
    <t>18 datos</t>
  </si>
  <si>
    <t>MEDIANA</t>
  </si>
  <si>
    <t>MEDIA ARITMÉTICA</t>
  </si>
  <si>
    <t>PASOS</t>
  </si>
  <si>
    <t>ORDENAR DATOS</t>
  </si>
  <si>
    <t>11 DATOS</t>
  </si>
  <si>
    <t>NÚMERO IMPAR</t>
  </si>
  <si>
    <t>COMO ES IMPAR, ELEGIMOS EL DATO QUE SE ENCUENTRA A LA MITAD</t>
  </si>
  <si>
    <t>MODA</t>
  </si>
  <si>
    <t>LA MODA DE ESTE CONJUNTO DE DATOS ES IGUAL A 4 Y SE CONSIDERA UNIMODAL</t>
  </si>
  <si>
    <t>fi</t>
  </si>
  <si>
    <t>las modas de este conjunto de datos son 3 y 4, ya que ambas tiene la misma frecuncia, por lo tanto, la muestra es bimodal</t>
  </si>
  <si>
    <r>
      <t xml:space="preserve">LA MUESTRA NO CONTIENE NÍNGÚN DATO REPETIDO, POR LO QUE SE CONSIDERA QUE LA MUESTRA ES </t>
    </r>
    <r>
      <rPr>
        <b/>
        <sz val="12"/>
        <color theme="1"/>
        <rFont val="Calibri"/>
        <family val="2"/>
        <scheme val="minor"/>
      </rPr>
      <t>A</t>
    </r>
    <r>
      <rPr>
        <b/>
        <sz val="14"/>
        <color theme="1"/>
        <rFont val="Calibri"/>
        <family val="2"/>
        <scheme val="minor"/>
      </rPr>
      <t>MODAL</t>
    </r>
  </si>
  <si>
    <t>M</t>
  </si>
  <si>
    <t>Md   Me</t>
  </si>
  <si>
    <t>Mo</t>
  </si>
  <si>
    <t>MEDIA</t>
  </si>
  <si>
    <t>punto medio de cada clase</t>
  </si>
  <si>
    <t>CLASES</t>
  </si>
  <si>
    <t>PUNTO MEDIO DE CADA CLASE</t>
  </si>
  <si>
    <t>xe</t>
  </si>
  <si>
    <t>li  ls</t>
  </si>
  <si>
    <t>FRECUENCIA DE CASA</t>
  </si>
  <si>
    <t>Fi</t>
  </si>
  <si>
    <t>comesales</t>
  </si>
  <si>
    <t>FI</t>
  </si>
  <si>
    <t>COMENSALES ATENDIDOS</t>
  </si>
  <si>
    <t>EL INTERVALOR MEDIANO, O LA CLASE DONDE SE ENCUENTRA LA MEDIANA, SE ENCUENTRA EN LA TERCERA CLASE</t>
  </si>
  <si>
    <t>+</t>
  </si>
  <si>
    <t>2 (</t>
  </si>
  <si>
    <t>20-</t>
  </si>
  <si>
    <t>32)-</t>
  </si>
  <si>
    <t>40+</t>
  </si>
  <si>
    <t>ESTE PARAMETRO ES DE MAYOR FRECUENCIA</t>
  </si>
  <si>
    <t>X1+X2+X3+X4+X5+X6</t>
  </si>
  <si>
    <t>(Y1-3) ELEVADO A LA 2</t>
  </si>
  <si>
    <t>(Y2-3) ELEVADO A LA 2</t>
  </si>
  <si>
    <t>(Y3-3) ELEVADO A LA 2</t>
  </si>
  <si>
    <t>(Y4-3) ELEVADO A LA 2</t>
  </si>
  <si>
    <t>a+a+a+a= Na</t>
  </si>
  <si>
    <t>f1X1+f2X2+f3X3+f4X4+f5X5</t>
  </si>
  <si>
    <t>(X1-a)+</t>
  </si>
  <si>
    <t>(X2-a)+</t>
  </si>
  <si>
    <t>(X3-a)</t>
  </si>
  <si>
    <t>o</t>
  </si>
  <si>
    <t>x1+x2+x3-3a</t>
  </si>
  <si>
    <t>1ER PARCIAL</t>
  </si>
  <si>
    <t>PAG 1 A 3</t>
  </si>
  <si>
    <t>UNIDAD I</t>
  </si>
  <si>
    <t>DISTRIBUCIÓN DE FRECUENCIAS</t>
  </si>
  <si>
    <t>2DO PARCIAL</t>
  </si>
  <si>
    <t>TENDENCIA CENTRAL</t>
  </si>
  <si>
    <t>MEDIA, MEDIANA MODA</t>
  </si>
  <si>
    <t>ESTATURAS</t>
  </si>
  <si>
    <t>PESO</t>
  </si>
  <si>
    <t>118-126</t>
  </si>
  <si>
    <t>127-135</t>
  </si>
  <si>
    <t>136-144</t>
  </si>
  <si>
    <t>145-153</t>
  </si>
  <si>
    <t>154-162</t>
  </si>
  <si>
    <t>163-171</t>
  </si>
  <si>
    <t>172-180</t>
  </si>
  <si>
    <t>FRECUENCIA</t>
  </si>
  <si>
    <t>segundo método</t>
  </si>
  <si>
    <t>suma de las 1ras 3  frecuencias</t>
  </si>
  <si>
    <t>suma de las 1ras 4  frecuencias</t>
  </si>
  <si>
    <t>}</t>
  </si>
  <si>
    <t>mediana ubicada en la 4ta clase</t>
  </si>
  <si>
    <t>L1</t>
  </si>
  <si>
    <t>N</t>
  </si>
  <si>
    <t>SUMA FRECUENCIAS INFERIORES</t>
  </si>
  <si>
    <t>FRECUENCIA MEDIANA</t>
  </si>
  <si>
    <t>C</t>
  </si>
  <si>
    <t>TAMAÑO DEL INTERVALO DE LA CLASE MEDIANA</t>
  </si>
  <si>
    <t>*</t>
  </si>
  <si>
    <t>LIS</t>
  </si>
  <si>
    <t>K</t>
  </si>
  <si>
    <t>2DO METODO</t>
  </si>
  <si>
    <t>(47.5-45)</t>
  </si>
  <si>
    <t>(50.5-39.5)</t>
  </si>
  <si>
    <t>Xe</t>
  </si>
  <si>
    <t>F XE</t>
  </si>
  <si>
    <t>Mediana</t>
  </si>
  <si>
    <t>El resultado de la moda, es el parametro</t>
  </si>
  <si>
    <t>de mayor frecuencia.</t>
  </si>
  <si>
    <t>al tener dos frecuencias iguales</t>
  </si>
  <si>
    <t>son dos parametros, con mayor frecuencia</t>
  </si>
  <si>
    <t>rango menor</t>
  </si>
  <si>
    <t>mayo</t>
  </si>
  <si>
    <t>raíz</t>
  </si>
  <si>
    <t>clases</t>
  </si>
  <si>
    <t>FIXE</t>
  </si>
  <si>
    <t>(7.5-5.5)</t>
  </si>
  <si>
    <t>MEDIANA POR INTERPOLACION</t>
  </si>
  <si>
    <t>MEDIANA POR FORMULA</t>
  </si>
  <si>
    <t>2(10)-3-8</t>
  </si>
  <si>
    <t>2(10)-8-3</t>
  </si>
  <si>
    <t>MEDIDAS DE TENDENCIA DE DISPERSION</t>
  </si>
  <si>
    <t>XE- MEDIA</t>
  </si>
  <si>
    <t>(XE- MEDIA) AL 2</t>
  </si>
  <si>
    <t>F (MARCA DE CLASE- MEDIA)</t>
  </si>
  <si>
    <t>DESVIACION MEDIA</t>
  </si>
  <si>
    <t>F(MARCA DE CLASE-MEDIA) A LA 2</t>
  </si>
  <si>
    <t>DESVIACION ESTANDAR</t>
  </si>
  <si>
    <t xml:space="preserve">RAIZ DE </t>
  </si>
  <si>
    <t>VARIANZA</t>
  </si>
  <si>
    <t>fa</t>
  </si>
  <si>
    <t>DESVIACIÓN ESTANDAR</t>
  </si>
  <si>
    <t xml:space="preserve">(Xe- X) </t>
  </si>
  <si>
    <t>f(Xe- X) a la 2</t>
  </si>
  <si>
    <t>RAÍZ</t>
  </si>
  <si>
    <t>DESVIACIÓN MEDIA</t>
  </si>
  <si>
    <t>DM</t>
  </si>
  <si>
    <t>S</t>
  </si>
  <si>
    <t>varianza</t>
  </si>
  <si>
    <t>media</t>
  </si>
  <si>
    <t>moda</t>
  </si>
  <si>
    <t>desviacion estandar</t>
  </si>
  <si>
    <t>r</t>
  </si>
  <si>
    <t>a</t>
  </si>
  <si>
    <t>VALOR CENTRAL O LA MEDIA DE LOS DOS VALORES CENTRALES</t>
  </si>
  <si>
    <t>L</t>
  </si>
  <si>
    <t>N/2</t>
  </si>
  <si>
    <t>SUMAF</t>
  </si>
  <si>
    <t>F MEDIANA</t>
  </si>
  <si>
    <t xml:space="preserve">              C</t>
  </si>
  <si>
    <t>FRONTERA INFERIOR DE LA CLASE MEDIANA</t>
  </si>
  <si>
    <t>NUMERO DE DATOS</t>
  </si>
  <si>
    <t>SUMA F 1</t>
  </si>
  <si>
    <t>SUAM DE LAS FRECUENCIAS DE TODAS LAS CLASES ANTERIORES A LA CLASE MEDIANA</t>
  </si>
  <si>
    <t>FRECUENCIA DE LA CLASE MEDIANA</t>
  </si>
  <si>
    <t>AMPLITUD DEL INTERVALO DE LA CLASE MEDIANA</t>
  </si>
  <si>
    <t>Li+</t>
  </si>
  <si>
    <t>fm - f(m-1)</t>
  </si>
  <si>
    <t>2 fm - f(m-1) - f (m+1)</t>
  </si>
  <si>
    <t>A</t>
  </si>
  <si>
    <t>Li</t>
  </si>
  <si>
    <t>Límite inferior o frontera inferior</t>
  </si>
  <si>
    <t>f (m-1)</t>
  </si>
  <si>
    <t>Frecuencia de calse premodal</t>
  </si>
  <si>
    <t>f (m+1)</t>
  </si>
  <si>
    <t>Frecuencia de clase posmodal</t>
  </si>
  <si>
    <t>Anchura o intervalo de la clase modal</t>
  </si>
  <si>
    <t>li</t>
  </si>
  <si>
    <t>ls</t>
  </si>
  <si>
    <t>fixe</t>
  </si>
  <si>
    <t>mediana</t>
  </si>
  <si>
    <t>R</t>
  </si>
  <si>
    <t>RAIZ</t>
  </si>
  <si>
    <t>MEDIA - XE</t>
  </si>
  <si>
    <t>( MEDIA-XE) A LA 2</t>
  </si>
  <si>
    <t>F (MEDIA- XE) A LA 2</t>
  </si>
  <si>
    <t>S=</t>
  </si>
  <si>
    <t>f</t>
  </si>
  <si>
    <t>media - xe</t>
  </si>
  <si>
    <t>(media -xe) a la 2</t>
  </si>
  <si>
    <t>F(MEDIA-XE) A LA 2</t>
  </si>
  <si>
    <t>RANGO</t>
  </si>
  <si>
    <t>F(MEDIA-XE)</t>
  </si>
  <si>
    <t>DATO MAYOR</t>
  </si>
  <si>
    <t>DATO MENOR</t>
  </si>
  <si>
    <t>ANCHO DE CLASE</t>
  </si>
  <si>
    <t>LIMITE INFERIOR</t>
  </si>
  <si>
    <t>LIMITE SUPERIOR</t>
  </si>
  <si>
    <t>FAA</t>
  </si>
  <si>
    <t>MEDIDAS DE TENDENCIA CENTRAL</t>
  </si>
  <si>
    <t>∑ f1</t>
  </si>
  <si>
    <t>f mediana</t>
  </si>
  <si>
    <t>Me=</t>
  </si>
  <si>
    <t>BIMODAL</t>
  </si>
  <si>
    <t>CLASE 4</t>
  </si>
  <si>
    <t>FM</t>
  </si>
  <si>
    <t>F (M-1)</t>
  </si>
  <si>
    <t>F (M+1)</t>
  </si>
  <si>
    <t>CLASE 5</t>
  </si>
  <si>
    <t>media menos XE</t>
  </si>
  <si>
    <t>DESVIACIÓN ESTÁNDAR</t>
  </si>
  <si>
    <t>SUMA</t>
  </si>
  <si>
    <t>TOTAL DE DATOS</t>
  </si>
  <si>
    <t>F (MEDIA-XE)</t>
  </si>
  <si>
    <t>DIVISIÓN</t>
  </si>
  <si>
    <t>RAÍZ CUADRADA</t>
  </si>
  <si>
    <t xml:space="preserve">Mo clase </t>
  </si>
  <si>
    <t xml:space="preserve">MODA CLASE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</si>
</sst>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#,##0.000000"/>
    <numFmt numFmtId="166" formatCode="0.0"/>
    <numFmt numFmtId="167" formatCode="#,##0.000"/>
    <numFmt numFmtId="168" formatCode="#,##0.0000"/>
    <numFmt numFmtId="169" formatCode="0.0000"/>
  </numFmts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33CC3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1" fillId="0" borderId="0" xfId="0" applyFont="1"/>
    <xf numFmtId="0" fontId="1" fillId="5" borderId="0" xfId="0" applyFont="1" applyFill="1"/>
    <xf numFmtId="0" fontId="0" fillId="3" borderId="1" xfId="0" applyFill="1" applyBorder="1"/>
    <xf numFmtId="2" fontId="0" fillId="0" borderId="0" xfId="0" applyNumberFormat="1"/>
    <xf numFmtId="2" fontId="0" fillId="0" borderId="1" xfId="0" applyNumberFormat="1" applyBorder="1"/>
    <xf numFmtId="2" fontId="0" fillId="8" borderId="0" xfId="0" applyNumberFormat="1" applyFill="1"/>
    <xf numFmtId="2" fontId="2" fillId="8" borderId="0" xfId="0" applyNumberFormat="1" applyFont="1" applyFill="1"/>
    <xf numFmtId="2" fontId="0" fillId="11" borderId="0" xfId="0" applyNumberFormat="1" applyFill="1"/>
    <xf numFmtId="2" fontId="0" fillId="5" borderId="0" xfId="0" applyNumberFormat="1" applyFill="1"/>
    <xf numFmtId="2" fontId="0" fillId="12" borderId="0" xfId="0" applyNumberFormat="1" applyFill="1"/>
    <xf numFmtId="2" fontId="0" fillId="13" borderId="0" xfId="0" applyNumberFormat="1" applyFill="1"/>
    <xf numFmtId="2" fontId="0" fillId="14" borderId="0" xfId="0" applyNumberFormat="1" applyFill="1"/>
    <xf numFmtId="2" fontId="0" fillId="15" borderId="0" xfId="0" applyNumberFormat="1" applyFill="1"/>
    <xf numFmtId="2" fontId="0" fillId="16" borderId="0" xfId="0" applyNumberFormat="1" applyFill="1"/>
    <xf numFmtId="2" fontId="5" fillId="0" borderId="0" xfId="0" applyNumberFormat="1" applyFont="1"/>
    <xf numFmtId="2" fontId="6" fillId="8" borderId="0" xfId="0" applyNumberFormat="1" applyFont="1" applyFill="1"/>
    <xf numFmtId="2" fontId="7" fillId="8" borderId="0" xfId="0" applyNumberFormat="1" applyFont="1" applyFill="1" applyAlignment="1">
      <alignment horizontal="center"/>
    </xf>
    <xf numFmtId="2" fontId="8" fillId="8" borderId="0" xfId="0" applyNumberFormat="1" applyFont="1" applyFill="1"/>
    <xf numFmtId="164" fontId="0" fillId="0" borderId="0" xfId="0" applyNumberFormat="1"/>
    <xf numFmtId="2" fontId="0" fillId="0" borderId="0" xfId="0" applyNumberFormat="1" applyFill="1"/>
    <xf numFmtId="2" fontId="0" fillId="7" borderId="0" xfId="0" applyNumberFormat="1" applyFill="1"/>
    <xf numFmtId="2" fontId="0" fillId="17" borderId="0" xfId="0" applyNumberFormat="1" applyFill="1"/>
    <xf numFmtId="0" fontId="0" fillId="0" borderId="0" xfId="0" applyAlignment="1">
      <alignment horizontal="right"/>
    </xf>
    <xf numFmtId="16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5" borderId="2" xfId="0" applyFill="1" applyBorder="1"/>
    <xf numFmtId="0" fontId="0" fillId="7" borderId="2" xfId="0" applyFill="1" applyBorder="1"/>
    <xf numFmtId="0" fontId="0" fillId="6" borderId="2" xfId="0" applyFill="1" applyBorder="1"/>
    <xf numFmtId="0" fontId="0" fillId="15" borderId="2" xfId="0" applyFill="1" applyBorder="1"/>
    <xf numFmtId="0" fontId="0" fillId="15" borderId="0" xfId="0" applyFill="1"/>
    <xf numFmtId="0" fontId="0" fillId="8" borderId="2" xfId="0" applyFill="1" applyBorder="1"/>
    <xf numFmtId="0" fontId="0" fillId="16" borderId="2" xfId="0" applyFill="1" applyBorder="1"/>
    <xf numFmtId="0" fontId="0" fillId="18" borderId="2" xfId="0" applyFill="1" applyBorder="1"/>
    <xf numFmtId="0" fontId="0" fillId="18" borderId="0" xfId="0" applyFill="1"/>
    <xf numFmtId="0" fontId="0" fillId="16" borderId="0" xfId="0" applyFill="1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2" fontId="0" fillId="0" borderId="0" xfId="0" applyNumberFormat="1" applyFill="1" applyBorder="1"/>
    <xf numFmtId="4" fontId="0" fillId="8" borderId="0" xfId="0" applyNumberFormat="1" applyFill="1"/>
    <xf numFmtId="4" fontId="0" fillId="0" borderId="3" xfId="0" applyNumberFormat="1" applyBorder="1"/>
    <xf numFmtId="4" fontId="0" fillId="8" borderId="1" xfId="0" applyNumberFormat="1" applyFill="1" applyBorder="1"/>
    <xf numFmtId="165" fontId="0" fillId="0" borderId="0" xfId="0" applyNumberFormat="1"/>
    <xf numFmtId="166" fontId="0" fillId="0" borderId="0" xfId="0" applyNumberFormat="1"/>
    <xf numFmtId="0" fontId="0" fillId="19" borderId="0" xfId="0" applyFill="1"/>
    <xf numFmtId="0" fontId="0" fillId="13" borderId="0" xfId="0" applyFill="1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168" fontId="0" fillId="0" borderId="0" xfId="0" applyNumberFormat="1"/>
    <xf numFmtId="167" fontId="0" fillId="8" borderId="0" xfId="0" applyNumberFormat="1" applyFill="1"/>
    <xf numFmtId="168" fontId="0" fillId="8" borderId="0" xfId="0" applyNumberFormat="1" applyFill="1"/>
    <xf numFmtId="0" fontId="9" fillId="0" borderId="0" xfId="0" applyFont="1" applyAlignment="1">
      <alignment horizontal="center"/>
    </xf>
    <xf numFmtId="4" fontId="0" fillId="0" borderId="2" xfId="0" applyNumberFormat="1" applyFill="1" applyBorder="1"/>
    <xf numFmtId="167" fontId="0" fillId="0" borderId="0" xfId="0" applyNumberFormat="1"/>
    <xf numFmtId="2" fontId="0" fillId="0" borderId="1" xfId="0" applyNumberFormat="1" applyFill="1" applyBorder="1"/>
    <xf numFmtId="0" fontId="0" fillId="20" borderId="0" xfId="0" applyFill="1"/>
    <xf numFmtId="2" fontId="0" fillId="20" borderId="0" xfId="0" applyNumberFormat="1" applyFill="1"/>
    <xf numFmtId="0" fontId="0" fillId="20" borderId="0" xfId="0" applyFill="1" applyBorder="1"/>
    <xf numFmtId="2" fontId="0" fillId="20" borderId="0" xfId="0" applyNumberFormat="1" applyFill="1" applyBorder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2" fillId="23" borderId="0" xfId="0" applyFont="1" applyFill="1" applyAlignment="1">
      <alignment horizontal="center"/>
    </xf>
    <xf numFmtId="0" fontId="0" fillId="23" borderId="0" xfId="0" applyFill="1" applyBorder="1"/>
    <xf numFmtId="0" fontId="0" fillId="13" borderId="1" xfId="0" applyFill="1" applyBorder="1"/>
    <xf numFmtId="0" fontId="1" fillId="13" borderId="0" xfId="0" applyFont="1" applyFill="1"/>
    <xf numFmtId="2" fontId="0" fillId="24" borderId="0" xfId="0" applyNumberFormat="1" applyFill="1"/>
    <xf numFmtId="2" fontId="0" fillId="3" borderId="0" xfId="0" applyNumberFormat="1" applyFill="1"/>
    <xf numFmtId="2" fontId="0" fillId="6" borderId="0" xfId="0" applyNumberFormat="1" applyFill="1"/>
    <xf numFmtId="2" fontId="9" fillId="0" borderId="0" xfId="0" applyNumberFormat="1" applyFont="1" applyAlignment="1">
      <alignment horizontal="center"/>
    </xf>
    <xf numFmtId="0" fontId="0" fillId="25" borderId="0" xfId="0" applyFill="1"/>
    <xf numFmtId="4" fontId="0" fillId="0" borderId="0" xfId="0" applyNumberFormat="1" applyFill="1"/>
    <xf numFmtId="164" fontId="0" fillId="0" borderId="2" xfId="0" applyNumberFormat="1" applyFill="1" applyBorder="1"/>
    <xf numFmtId="0" fontId="0" fillId="26" borderId="0" xfId="0" applyFill="1"/>
    <xf numFmtId="0" fontId="0" fillId="27" borderId="0" xfId="0" applyFill="1"/>
    <xf numFmtId="0" fontId="0" fillId="27" borderId="1" xfId="0" applyFill="1" applyBorder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0" borderId="1" xfId="0" applyFill="1" applyBorder="1"/>
    <xf numFmtId="0" fontId="0" fillId="31" borderId="0" xfId="0" applyFill="1"/>
    <xf numFmtId="0" fontId="0" fillId="26" borderId="0" xfId="0" applyFill="1" applyBorder="1"/>
    <xf numFmtId="0" fontId="0" fillId="30" borderId="0" xfId="0" applyFill="1" applyBorder="1"/>
    <xf numFmtId="0" fontId="0" fillId="27" borderId="0" xfId="0" applyFill="1" applyBorder="1"/>
    <xf numFmtId="0" fontId="0" fillId="28" borderId="0" xfId="0" applyFill="1" applyBorder="1"/>
    <xf numFmtId="0" fontId="0" fillId="31" borderId="0" xfId="0" applyFill="1" applyBorder="1"/>
    <xf numFmtId="0" fontId="0" fillId="32" borderId="0" xfId="0" applyFill="1"/>
    <xf numFmtId="0" fontId="0" fillId="32" borderId="0" xfId="0" applyFill="1" applyBorder="1"/>
    <xf numFmtId="0" fontId="0" fillId="32" borderId="1" xfId="0" applyFill="1" applyBorder="1"/>
    <xf numFmtId="0" fontId="0" fillId="29" borderId="0" xfId="0" applyFill="1" applyBorder="1"/>
    <xf numFmtId="0" fontId="0" fillId="31" borderId="1" xfId="0" applyFill="1" applyBorder="1"/>
    <xf numFmtId="0" fontId="0" fillId="33" borderId="0" xfId="0" applyFill="1"/>
    <xf numFmtId="0" fontId="0" fillId="33" borderId="0" xfId="0" applyFill="1" applyBorder="1"/>
    <xf numFmtId="0" fontId="0" fillId="33" borderId="1" xfId="0" applyFill="1" applyBorder="1"/>
    <xf numFmtId="0" fontId="0" fillId="34" borderId="0" xfId="0" applyFill="1"/>
    <xf numFmtId="0" fontId="0" fillId="34" borderId="0" xfId="0" applyFill="1" applyBorder="1"/>
    <xf numFmtId="0" fontId="0" fillId="34" borderId="1" xfId="0" applyFill="1" applyBorder="1"/>
    <xf numFmtId="4" fontId="11" fillId="0" borderId="0" xfId="0" applyNumberFormat="1" applyFont="1"/>
    <xf numFmtId="4" fontId="0" fillId="27" borderId="0" xfId="0" applyNumberFormat="1" applyFill="1" applyAlignment="1">
      <alignment horizontal="center"/>
    </xf>
    <xf numFmtId="4" fontId="0" fillId="27" borderId="0" xfId="0" applyNumberFormat="1" applyFill="1"/>
    <xf numFmtId="0" fontId="0" fillId="0" borderId="2" xfId="0" applyFill="1" applyBorder="1" applyAlignment="1">
      <alignment horizontal="center"/>
    </xf>
    <xf numFmtId="4" fontId="0" fillId="0" borderId="0" xfId="0" applyNumberFormat="1" applyBorder="1"/>
    <xf numFmtId="3" fontId="0" fillId="0" borderId="0" xfId="0" applyNumberFormat="1" applyAlignment="1">
      <alignment horizontal="center"/>
    </xf>
    <xf numFmtId="10" fontId="0" fillId="0" borderId="2" xfId="1" applyNumberFormat="1" applyFont="1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169" fontId="0" fillId="0" borderId="2" xfId="0" applyNumberFormat="1" applyFill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7" borderId="0" xfId="0" applyFill="1" applyAlignment="1">
      <alignment horizontal="center"/>
    </xf>
    <xf numFmtId="4" fontId="4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00FF"/>
      <color rgb="FFFFCCFF"/>
      <color rgb="FFFF99FF"/>
      <color rgb="FF33CC33"/>
      <color rgb="FF66FF66"/>
      <color rgb="FF99FF99"/>
      <color rgb="FF660066"/>
      <color rgb="FFCC00CC"/>
      <color rgb="FFFF66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'Media, mediana y moda no agrupa'!$N$3:$N$12</c:f>
              <c:numCache>
                <c:formatCode>0.00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6.5</c:v>
                </c:pt>
                <c:pt idx="3">
                  <c:v>7</c:v>
                </c:pt>
                <c:pt idx="4">
                  <c:v>7</c:v>
                </c:pt>
                <c:pt idx="5">
                  <c:v>7.5</c:v>
                </c:pt>
                <c:pt idx="6">
                  <c:v>7.5</c:v>
                </c:pt>
                <c:pt idx="7">
                  <c:v>7.5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E-4988-93D1-B641DA8A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87872"/>
        <c:axId val="42289408"/>
      </c:barChart>
      <c:catAx>
        <c:axId val="4228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42289408"/>
        <c:crosses val="autoZero"/>
        <c:auto val="1"/>
        <c:lblAlgn val="ctr"/>
        <c:lblOffset val="100"/>
        <c:noMultiLvlLbl val="0"/>
      </c:catAx>
      <c:valAx>
        <c:axId val="422894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228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46</xdr:row>
      <xdr:rowOff>171450</xdr:rowOff>
    </xdr:from>
    <xdr:to>
      <xdr:col>6</xdr:col>
      <xdr:colOff>312419</xdr:colOff>
      <xdr:row>50</xdr:row>
      <xdr:rowOff>161925</xdr:rowOff>
    </xdr:to>
    <xdr:sp macro="" textlink="">
      <xdr:nvSpPr>
        <xdr:cNvPr id="2" name="1 Abrir corchet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867025" y="8934450"/>
          <a:ext cx="45719" cy="7524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12</xdr:col>
      <xdr:colOff>171450</xdr:colOff>
      <xdr:row>47</xdr:row>
      <xdr:rowOff>9525</xdr:rowOff>
    </xdr:from>
    <xdr:to>
      <xdr:col>12</xdr:col>
      <xdr:colOff>217169</xdr:colOff>
      <xdr:row>50</xdr:row>
      <xdr:rowOff>152400</xdr:rowOff>
    </xdr:to>
    <xdr:sp macro="" textlink="">
      <xdr:nvSpPr>
        <xdr:cNvPr id="3" name="2 Cerrar corchet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4629150" y="8963025"/>
          <a:ext cx="45719" cy="7143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19</xdr:col>
      <xdr:colOff>266700</xdr:colOff>
      <xdr:row>39</xdr:row>
      <xdr:rowOff>171450</xdr:rowOff>
    </xdr:from>
    <xdr:to>
      <xdr:col>19</xdr:col>
      <xdr:colOff>312419</xdr:colOff>
      <xdr:row>43</xdr:row>
      <xdr:rowOff>161925</xdr:rowOff>
    </xdr:to>
    <xdr:sp macro="" textlink="">
      <xdr:nvSpPr>
        <xdr:cNvPr id="6" name="5 Abrir corchete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3048000" y="8934450"/>
          <a:ext cx="45719" cy="7524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25</xdr:col>
      <xdr:colOff>171450</xdr:colOff>
      <xdr:row>40</xdr:row>
      <xdr:rowOff>9525</xdr:rowOff>
    </xdr:from>
    <xdr:to>
      <xdr:col>25</xdr:col>
      <xdr:colOff>217169</xdr:colOff>
      <xdr:row>43</xdr:row>
      <xdr:rowOff>152400</xdr:rowOff>
    </xdr:to>
    <xdr:sp macro="" textlink="">
      <xdr:nvSpPr>
        <xdr:cNvPr id="7" name="6 Cerrar corchete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5095875" y="8963025"/>
          <a:ext cx="45719" cy="7143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19</xdr:col>
      <xdr:colOff>266700</xdr:colOff>
      <xdr:row>95</xdr:row>
      <xdr:rowOff>171450</xdr:rowOff>
    </xdr:from>
    <xdr:to>
      <xdr:col>19</xdr:col>
      <xdr:colOff>312419</xdr:colOff>
      <xdr:row>99</xdr:row>
      <xdr:rowOff>161925</xdr:rowOff>
    </xdr:to>
    <xdr:sp macro="" textlink="">
      <xdr:nvSpPr>
        <xdr:cNvPr id="10" name="9 Abrir corchete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10734675" y="7600950"/>
          <a:ext cx="45719" cy="7524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25</xdr:col>
      <xdr:colOff>171450</xdr:colOff>
      <xdr:row>96</xdr:row>
      <xdr:rowOff>9525</xdr:rowOff>
    </xdr:from>
    <xdr:to>
      <xdr:col>25</xdr:col>
      <xdr:colOff>217169</xdr:colOff>
      <xdr:row>99</xdr:row>
      <xdr:rowOff>152400</xdr:rowOff>
    </xdr:to>
    <xdr:sp macro="" textlink="">
      <xdr:nvSpPr>
        <xdr:cNvPr id="11" name="10 Cerrar corchete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15211425" y="7629525"/>
          <a:ext cx="45719" cy="7143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26</xdr:row>
      <xdr:rowOff>171450</xdr:rowOff>
    </xdr:from>
    <xdr:to>
      <xdr:col>10</xdr:col>
      <xdr:colOff>312419</xdr:colOff>
      <xdr:row>30</xdr:row>
      <xdr:rowOff>161925</xdr:rowOff>
    </xdr:to>
    <xdr:sp macro="" textlink="">
      <xdr:nvSpPr>
        <xdr:cNvPr id="2" name="1 Abrir corchet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048000" y="8934450"/>
          <a:ext cx="45719" cy="7524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16</xdr:col>
      <xdr:colOff>171450</xdr:colOff>
      <xdr:row>27</xdr:row>
      <xdr:rowOff>9525</xdr:rowOff>
    </xdr:from>
    <xdr:to>
      <xdr:col>16</xdr:col>
      <xdr:colOff>217169</xdr:colOff>
      <xdr:row>30</xdr:row>
      <xdr:rowOff>152400</xdr:rowOff>
    </xdr:to>
    <xdr:sp macro="" textlink="">
      <xdr:nvSpPr>
        <xdr:cNvPr id="3" name="2 Cerrar corchet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5476875" y="8963025"/>
          <a:ext cx="45719" cy="71437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407763</xdr:colOff>
      <xdr:row>27</xdr:row>
      <xdr:rowOff>29923</xdr:rowOff>
    </xdr:from>
    <xdr:to>
      <xdr:col>6</xdr:col>
      <xdr:colOff>928658</xdr:colOff>
      <xdr:row>50</xdr:row>
      <xdr:rowOff>144494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2BDCAB-724D-456B-9CCA-2DB212BD6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7397" y="5047972"/>
          <a:ext cx="3854645" cy="4389205"/>
        </a:xfrm>
        <a:prstGeom prst="rect">
          <a:avLst/>
        </a:prstGeom>
      </xdr:spPr>
    </xdr:pic>
    <xdr:clientData/>
  </xdr:twoCellAnchor>
  <xdr:twoCellAnchor>
    <xdr:from>
      <xdr:col>10</xdr:col>
      <xdr:colOff>182881</xdr:colOff>
      <xdr:row>38</xdr:row>
      <xdr:rowOff>38100</xdr:rowOff>
    </xdr:from>
    <xdr:to>
      <xdr:col>10</xdr:col>
      <xdr:colOff>228600</xdr:colOff>
      <xdr:row>41</xdr:row>
      <xdr:rowOff>121920</xdr:rowOff>
    </xdr:to>
    <xdr:sp macro="" textlink="">
      <xdr:nvSpPr>
        <xdr:cNvPr id="4" name="Abrir corchete 3"/>
        <xdr:cNvSpPr/>
      </xdr:nvSpPr>
      <xdr:spPr>
        <a:xfrm>
          <a:off x="9022081" y="6987540"/>
          <a:ext cx="45719" cy="63246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754380</xdr:colOff>
      <xdr:row>37</xdr:row>
      <xdr:rowOff>121920</xdr:rowOff>
    </xdr:from>
    <xdr:to>
      <xdr:col>15</xdr:col>
      <xdr:colOff>15240</xdr:colOff>
      <xdr:row>41</xdr:row>
      <xdr:rowOff>91440</xdr:rowOff>
    </xdr:to>
    <xdr:sp macro="" textlink="">
      <xdr:nvSpPr>
        <xdr:cNvPr id="5" name="Cerrar corchete 4"/>
        <xdr:cNvSpPr/>
      </xdr:nvSpPr>
      <xdr:spPr>
        <a:xfrm>
          <a:off x="11971020" y="6888480"/>
          <a:ext cx="53340" cy="70104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243840</xdr:colOff>
      <xdr:row>52</xdr:row>
      <xdr:rowOff>152400</xdr:rowOff>
    </xdr:from>
    <xdr:to>
      <xdr:col>7</xdr:col>
      <xdr:colOff>754258</xdr:colOff>
      <xdr:row>67</xdr:row>
      <xdr:rowOff>139216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D63D9FB-8AF0-4F23-B89E-C05FC9E62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760" y="9662160"/>
          <a:ext cx="4717347" cy="2730016"/>
        </a:xfrm>
        <a:prstGeom prst="rect">
          <a:avLst/>
        </a:prstGeom>
      </xdr:spPr>
    </xdr:pic>
    <xdr:clientData/>
  </xdr:twoCellAnchor>
  <xdr:twoCellAnchor>
    <xdr:from>
      <xdr:col>12</xdr:col>
      <xdr:colOff>182880</xdr:colOff>
      <xdr:row>65</xdr:row>
      <xdr:rowOff>30480</xdr:rowOff>
    </xdr:from>
    <xdr:to>
      <xdr:col>12</xdr:col>
      <xdr:colOff>228599</xdr:colOff>
      <xdr:row>69</xdr:row>
      <xdr:rowOff>7620</xdr:rowOff>
    </xdr:to>
    <xdr:sp macro="" textlink="">
      <xdr:nvSpPr>
        <xdr:cNvPr id="8" name="Abrir corchete 7"/>
        <xdr:cNvSpPr/>
      </xdr:nvSpPr>
      <xdr:spPr>
        <a:xfrm>
          <a:off x="9814560" y="11917680"/>
          <a:ext cx="45719" cy="70866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746760</xdr:colOff>
      <xdr:row>64</xdr:row>
      <xdr:rowOff>167640</xdr:rowOff>
    </xdr:from>
    <xdr:to>
      <xdr:col>14</xdr:col>
      <xdr:colOff>45720</xdr:colOff>
      <xdr:row>68</xdr:row>
      <xdr:rowOff>160020</xdr:rowOff>
    </xdr:to>
    <xdr:sp macro="" textlink="">
      <xdr:nvSpPr>
        <xdr:cNvPr id="9" name="Cerrar corchete 8"/>
        <xdr:cNvSpPr/>
      </xdr:nvSpPr>
      <xdr:spPr>
        <a:xfrm>
          <a:off x="11170920" y="11871960"/>
          <a:ext cx="91440" cy="7239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160020</xdr:colOff>
      <xdr:row>65</xdr:row>
      <xdr:rowOff>15240</xdr:rowOff>
    </xdr:from>
    <xdr:to>
      <xdr:col>18</xdr:col>
      <xdr:colOff>213360</xdr:colOff>
      <xdr:row>68</xdr:row>
      <xdr:rowOff>91440</xdr:rowOff>
    </xdr:to>
    <xdr:sp macro="" textlink="">
      <xdr:nvSpPr>
        <xdr:cNvPr id="10" name="Abrir corchete 9"/>
        <xdr:cNvSpPr/>
      </xdr:nvSpPr>
      <xdr:spPr>
        <a:xfrm>
          <a:off x="14546580" y="11902440"/>
          <a:ext cx="53340" cy="62484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777240</xdr:colOff>
      <xdr:row>64</xdr:row>
      <xdr:rowOff>167640</xdr:rowOff>
    </xdr:from>
    <xdr:to>
      <xdr:col>20</xdr:col>
      <xdr:colOff>30479</xdr:colOff>
      <xdr:row>68</xdr:row>
      <xdr:rowOff>83820</xdr:rowOff>
    </xdr:to>
    <xdr:sp macro="" textlink="">
      <xdr:nvSpPr>
        <xdr:cNvPr id="11" name="Cerrar corchete 10"/>
        <xdr:cNvSpPr/>
      </xdr:nvSpPr>
      <xdr:spPr>
        <a:xfrm>
          <a:off x="15956280" y="11871960"/>
          <a:ext cx="45719" cy="6477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3"/>
  <sheetViews>
    <sheetView topLeftCell="A58" zoomScale="80" zoomScaleNormal="80" workbookViewId="0">
      <selection activeCell="A6" sqref="A6"/>
    </sheetView>
  </sheetViews>
  <sheetFormatPr baseColWidth="10" defaultRowHeight="15" x14ac:dyDescent="0.25"/>
  <cols>
    <col min="1" max="1" width="18.85546875" customWidth="1"/>
    <col min="5" max="5" width="23.28515625" customWidth="1"/>
  </cols>
  <sheetData>
    <row r="2" spans="1:17" ht="14.45" x14ac:dyDescent="0.3">
      <c r="B2" t="s">
        <v>0</v>
      </c>
      <c r="C2" t="s">
        <v>1</v>
      </c>
    </row>
    <row r="3" spans="1:17" ht="14.45" x14ac:dyDescent="0.3">
      <c r="H3">
        <v>19</v>
      </c>
    </row>
    <row r="4" spans="1:17" ht="14.45" x14ac:dyDescent="0.3">
      <c r="A4" t="s">
        <v>3</v>
      </c>
      <c r="B4" t="s">
        <v>2</v>
      </c>
    </row>
    <row r="5" spans="1:17" ht="14.45" x14ac:dyDescent="0.3">
      <c r="H5">
        <f>82+18</f>
        <v>100</v>
      </c>
    </row>
    <row r="6" spans="1:17" x14ac:dyDescent="0.25">
      <c r="A6" t="s">
        <v>4</v>
      </c>
      <c r="B6" t="s">
        <v>5</v>
      </c>
      <c r="E6" s="12" t="s">
        <v>6</v>
      </c>
      <c r="F6" t="s">
        <v>9</v>
      </c>
      <c r="H6">
        <f>5*10</f>
        <v>50</v>
      </c>
    </row>
    <row r="7" spans="1:17" ht="14.45" x14ac:dyDescent="0.3">
      <c r="H7">
        <f>SQRT(H6)</f>
        <v>7.0710678118654755</v>
      </c>
      <c r="K7" s="11" t="s">
        <v>52</v>
      </c>
    </row>
    <row r="8" spans="1:17" ht="14.45" x14ac:dyDescent="0.3">
      <c r="A8" s="5" t="s">
        <v>7</v>
      </c>
      <c r="B8" s="1" t="s">
        <v>8</v>
      </c>
      <c r="C8">
        <f>A63-A12</f>
        <v>9.5</v>
      </c>
      <c r="D8" t="s">
        <v>14</v>
      </c>
      <c r="E8">
        <f>C8/C9</f>
        <v>1.3435028842544403</v>
      </c>
      <c r="K8" t="s">
        <v>29</v>
      </c>
    </row>
    <row r="9" spans="1:17" x14ac:dyDescent="0.25">
      <c r="A9" s="5" t="s">
        <v>31</v>
      </c>
      <c r="B9" t="s">
        <v>10</v>
      </c>
      <c r="C9">
        <f>H7</f>
        <v>7.0710678118654755</v>
      </c>
      <c r="E9">
        <v>1.4</v>
      </c>
      <c r="K9" s="11" t="s">
        <v>30</v>
      </c>
    </row>
    <row r="11" spans="1:17" ht="14.45" x14ac:dyDescent="0.3">
      <c r="D11" t="s">
        <v>11</v>
      </c>
      <c r="E11" t="s">
        <v>12</v>
      </c>
      <c r="F11" t="s">
        <v>13</v>
      </c>
      <c r="G11" t="s">
        <v>15</v>
      </c>
      <c r="H11" t="s">
        <v>16</v>
      </c>
      <c r="I11" t="s">
        <v>17</v>
      </c>
      <c r="J11" t="s">
        <v>18</v>
      </c>
      <c r="K11" t="s">
        <v>19</v>
      </c>
      <c r="L11" t="s">
        <v>20</v>
      </c>
      <c r="N11" t="s">
        <v>143</v>
      </c>
      <c r="O11" t="s">
        <v>32</v>
      </c>
      <c r="P11" t="s">
        <v>144</v>
      </c>
    </row>
    <row r="12" spans="1:17" ht="14.45" x14ac:dyDescent="0.3">
      <c r="A12" s="2">
        <v>0.2</v>
      </c>
      <c r="B12">
        <v>1</v>
      </c>
      <c r="D12">
        <v>1</v>
      </c>
      <c r="E12">
        <v>82</v>
      </c>
      <c r="F12">
        <f>E12+H3</f>
        <v>101</v>
      </c>
      <c r="G12" s="3">
        <v>4</v>
      </c>
      <c r="H12">
        <f>G12/$G$19</f>
        <v>0.08</v>
      </c>
      <c r="I12">
        <f>G12</f>
        <v>4</v>
      </c>
      <c r="J12">
        <f>I12/$G$19</f>
        <v>0.08</v>
      </c>
      <c r="K12">
        <f>(E12+F12)/2</f>
        <v>91.5</v>
      </c>
      <c r="L12">
        <f>K12*G12</f>
        <v>366</v>
      </c>
      <c r="N12" s="36">
        <f>$I$23-K12</f>
        <v>55.47999999999999</v>
      </c>
      <c r="O12" s="36">
        <f>POWER(N12,2)</f>
        <v>3078.0303999999987</v>
      </c>
      <c r="P12" s="36">
        <f>O12*G12</f>
        <v>12312.121599999995</v>
      </c>
      <c r="Q12" s="36"/>
    </row>
    <row r="13" spans="1:17" ht="14.45" x14ac:dyDescent="0.3">
      <c r="A13" s="2">
        <v>0.4</v>
      </c>
      <c r="B13">
        <f>B12+1</f>
        <v>2</v>
      </c>
      <c r="D13">
        <v>2</v>
      </c>
      <c r="E13">
        <f>F12</f>
        <v>101</v>
      </c>
      <c r="F13">
        <f>E13+$H$3</f>
        <v>120</v>
      </c>
      <c r="G13">
        <v>7</v>
      </c>
      <c r="H13">
        <f t="shared" ref="H13:H18" si="0">G13/$G$19</f>
        <v>0.14000000000000001</v>
      </c>
      <c r="I13">
        <f t="shared" ref="I13:I18" si="1">I12+G13</f>
        <v>11</v>
      </c>
      <c r="J13">
        <f t="shared" ref="J13:J18" si="2">I13/$G$19</f>
        <v>0.22</v>
      </c>
      <c r="K13">
        <f t="shared" ref="K13:K18" si="3">(E13+F13)/2</f>
        <v>110.5</v>
      </c>
      <c r="L13">
        <f t="shared" ref="L13:L18" si="4">K13*G13</f>
        <v>773.5</v>
      </c>
      <c r="N13" s="36">
        <f t="shared" ref="N13:N14" si="5">$I$23-K13</f>
        <v>36.47999999999999</v>
      </c>
      <c r="O13" s="36">
        <f t="shared" ref="O13:O18" si="6">POWER(N13,2)</f>
        <v>1330.7903999999992</v>
      </c>
      <c r="P13" s="36">
        <f t="shared" ref="P13:P18" si="7">O13*G13</f>
        <v>9315.5327999999936</v>
      </c>
      <c r="Q13" s="36"/>
    </row>
    <row r="14" spans="1:17" ht="14.45" x14ac:dyDescent="0.3">
      <c r="A14" s="2">
        <v>0.4</v>
      </c>
      <c r="B14">
        <f t="shared" ref="B14:B31" si="8">B13+1</f>
        <v>3</v>
      </c>
      <c r="D14">
        <v>3</v>
      </c>
      <c r="E14">
        <f t="shared" ref="E14:E18" si="9">F13</f>
        <v>120</v>
      </c>
      <c r="F14">
        <f t="shared" ref="F14:F18" si="10">E14+$H$3</f>
        <v>139</v>
      </c>
      <c r="G14">
        <v>9</v>
      </c>
      <c r="H14">
        <f t="shared" si="0"/>
        <v>0.18</v>
      </c>
      <c r="I14">
        <f t="shared" si="1"/>
        <v>20</v>
      </c>
      <c r="J14">
        <f t="shared" si="2"/>
        <v>0.4</v>
      </c>
      <c r="K14">
        <f t="shared" si="3"/>
        <v>129.5</v>
      </c>
      <c r="L14">
        <f t="shared" si="4"/>
        <v>1165.5</v>
      </c>
      <c r="N14" s="36">
        <f t="shared" si="5"/>
        <v>17.47999999999999</v>
      </c>
      <c r="O14" s="36">
        <f t="shared" si="6"/>
        <v>305.55039999999963</v>
      </c>
      <c r="P14" s="36">
        <f t="shared" si="7"/>
        <v>2749.9535999999966</v>
      </c>
      <c r="Q14" s="36"/>
    </row>
    <row r="15" spans="1:17" ht="14.45" x14ac:dyDescent="0.3">
      <c r="A15" s="2">
        <v>0.4</v>
      </c>
      <c r="B15">
        <f t="shared" si="8"/>
        <v>4</v>
      </c>
      <c r="D15">
        <v>4</v>
      </c>
      <c r="E15">
        <f t="shared" si="9"/>
        <v>139</v>
      </c>
      <c r="F15">
        <f t="shared" si="10"/>
        <v>158</v>
      </c>
      <c r="G15">
        <v>12</v>
      </c>
      <c r="H15">
        <f t="shared" si="0"/>
        <v>0.24</v>
      </c>
      <c r="I15">
        <f t="shared" si="1"/>
        <v>32</v>
      </c>
      <c r="J15">
        <f t="shared" si="2"/>
        <v>0.64</v>
      </c>
      <c r="K15">
        <f t="shared" si="3"/>
        <v>148.5</v>
      </c>
      <c r="L15">
        <f t="shared" si="4"/>
        <v>1782</v>
      </c>
      <c r="N15" s="36">
        <f>K15-I23</f>
        <v>1.5200000000000102</v>
      </c>
      <c r="O15" s="36">
        <f t="shared" si="6"/>
        <v>2.3104000000000311</v>
      </c>
      <c r="P15" s="36">
        <f t="shared" si="7"/>
        <v>27.724800000000371</v>
      </c>
      <c r="Q15" s="36"/>
    </row>
    <row r="16" spans="1:17" ht="14.45" x14ac:dyDescent="0.3">
      <c r="A16" s="2">
        <v>0.5</v>
      </c>
      <c r="B16">
        <f t="shared" si="8"/>
        <v>5</v>
      </c>
      <c r="D16">
        <v>5</v>
      </c>
      <c r="E16">
        <f t="shared" si="9"/>
        <v>158</v>
      </c>
      <c r="F16">
        <f t="shared" si="10"/>
        <v>177</v>
      </c>
      <c r="G16">
        <v>9</v>
      </c>
      <c r="H16">
        <f t="shared" si="0"/>
        <v>0.18</v>
      </c>
      <c r="I16">
        <f t="shared" si="1"/>
        <v>41</v>
      </c>
      <c r="J16">
        <f t="shared" si="2"/>
        <v>0.82</v>
      </c>
      <c r="K16">
        <f t="shared" si="3"/>
        <v>167.5</v>
      </c>
      <c r="L16">
        <f t="shared" si="4"/>
        <v>1507.5</v>
      </c>
      <c r="N16" s="36">
        <f>K16-I23</f>
        <v>20.52000000000001</v>
      </c>
      <c r="O16" s="36">
        <f t="shared" si="6"/>
        <v>421.0704000000004</v>
      </c>
      <c r="P16" s="36">
        <f t="shared" si="7"/>
        <v>3789.6336000000038</v>
      </c>
      <c r="Q16" s="36"/>
    </row>
    <row r="17" spans="1:17" ht="14.45" x14ac:dyDescent="0.3">
      <c r="A17" s="2">
        <v>0.5</v>
      </c>
      <c r="B17">
        <f t="shared" si="8"/>
        <v>6</v>
      </c>
      <c r="D17">
        <v>6</v>
      </c>
      <c r="E17">
        <f t="shared" si="9"/>
        <v>177</v>
      </c>
      <c r="F17">
        <f t="shared" si="10"/>
        <v>196</v>
      </c>
      <c r="G17" s="3">
        <v>5</v>
      </c>
      <c r="H17">
        <f t="shared" si="0"/>
        <v>0.1</v>
      </c>
      <c r="I17">
        <f t="shared" si="1"/>
        <v>46</v>
      </c>
      <c r="J17">
        <f t="shared" si="2"/>
        <v>0.92</v>
      </c>
      <c r="K17">
        <f t="shared" si="3"/>
        <v>186.5</v>
      </c>
      <c r="L17">
        <f t="shared" si="4"/>
        <v>932.5</v>
      </c>
      <c r="N17" s="36">
        <f>K17-I23</f>
        <v>39.52000000000001</v>
      </c>
      <c r="O17" s="36">
        <f t="shared" si="6"/>
        <v>1561.8304000000007</v>
      </c>
      <c r="P17" s="36">
        <f t="shared" si="7"/>
        <v>7809.1520000000037</v>
      </c>
      <c r="Q17" s="36"/>
    </row>
    <row r="18" spans="1:17" ht="14.45" x14ac:dyDescent="0.3">
      <c r="A18" s="2">
        <v>0.7</v>
      </c>
      <c r="B18">
        <f t="shared" si="8"/>
        <v>7</v>
      </c>
      <c r="D18">
        <v>7</v>
      </c>
      <c r="E18">
        <f t="shared" si="9"/>
        <v>196</v>
      </c>
      <c r="F18">
        <f t="shared" si="10"/>
        <v>215</v>
      </c>
      <c r="G18" s="13">
        <v>4</v>
      </c>
      <c r="H18" s="1">
        <f t="shared" si="0"/>
        <v>0.08</v>
      </c>
      <c r="I18">
        <f t="shared" si="1"/>
        <v>50</v>
      </c>
      <c r="J18">
        <f t="shared" si="2"/>
        <v>1</v>
      </c>
      <c r="K18">
        <f t="shared" si="3"/>
        <v>205.5</v>
      </c>
      <c r="L18" s="1">
        <f t="shared" si="4"/>
        <v>822</v>
      </c>
      <c r="N18" s="37">
        <f>K18-I23</f>
        <v>58.52000000000001</v>
      </c>
      <c r="O18" s="36">
        <f t="shared" si="6"/>
        <v>3424.5904000000014</v>
      </c>
      <c r="P18" s="37">
        <f t="shared" si="7"/>
        <v>13698.361600000006</v>
      </c>
      <c r="Q18" s="36"/>
    </row>
    <row r="19" spans="1:17" ht="14.45" x14ac:dyDescent="0.3">
      <c r="A19" s="2">
        <v>0.8</v>
      </c>
      <c r="B19">
        <f t="shared" si="8"/>
        <v>8</v>
      </c>
      <c r="G19">
        <f>SUM(G12:G18)</f>
        <v>50</v>
      </c>
      <c r="H19">
        <f>SUM(H12:H18)</f>
        <v>1</v>
      </c>
      <c r="L19">
        <f>SUM(L12:L18)</f>
        <v>7349</v>
      </c>
      <c r="N19" s="36">
        <f>SUM(N12:N18)</f>
        <v>229.52</v>
      </c>
      <c r="O19" s="36"/>
      <c r="P19" s="36">
        <f>SUM(P12:P18)</f>
        <v>49702.479999999996</v>
      </c>
      <c r="Q19" s="36"/>
    </row>
    <row r="20" spans="1:17" ht="14.45" x14ac:dyDescent="0.3">
      <c r="A20" s="2">
        <v>0.9</v>
      </c>
      <c r="B20">
        <f t="shared" si="8"/>
        <v>9</v>
      </c>
      <c r="N20" s="36"/>
      <c r="O20" s="36"/>
      <c r="P20" s="36"/>
      <c r="Q20" s="36"/>
    </row>
    <row r="21" spans="1:17" ht="14.45" x14ac:dyDescent="0.3">
      <c r="A21" s="2">
        <v>1.1000000000000001</v>
      </c>
      <c r="B21">
        <f t="shared" si="8"/>
        <v>10</v>
      </c>
      <c r="N21" s="36"/>
      <c r="O21" s="36"/>
      <c r="P21" s="36"/>
      <c r="Q21" s="36"/>
    </row>
    <row r="22" spans="1:17" ht="14.45" x14ac:dyDescent="0.3">
      <c r="A22" s="2">
        <v>1.2</v>
      </c>
      <c r="B22">
        <f t="shared" si="8"/>
        <v>11</v>
      </c>
      <c r="E22" t="s">
        <v>21</v>
      </c>
    </row>
    <row r="23" spans="1:17" ht="14.45" x14ac:dyDescent="0.3">
      <c r="A23" s="2">
        <v>1.2</v>
      </c>
      <c r="B23">
        <f t="shared" si="8"/>
        <v>12</v>
      </c>
      <c r="E23" t="s">
        <v>22</v>
      </c>
      <c r="F23" t="s">
        <v>14</v>
      </c>
      <c r="G23" s="1" t="s">
        <v>23</v>
      </c>
      <c r="H23" s="1">
        <f>L19</f>
        <v>7349</v>
      </c>
      <c r="I23">
        <f>H23/H24</f>
        <v>146.97999999999999</v>
      </c>
    </row>
    <row r="24" spans="1:17" ht="14.45" x14ac:dyDescent="0.3">
      <c r="A24" s="2">
        <v>1.3</v>
      </c>
      <c r="B24">
        <f t="shared" si="8"/>
        <v>13</v>
      </c>
      <c r="G24" t="s">
        <v>0</v>
      </c>
      <c r="H24">
        <f>G19</f>
        <v>50</v>
      </c>
    </row>
    <row r="25" spans="1:17" ht="14.45" x14ac:dyDescent="0.3">
      <c r="A25" s="2">
        <v>1.3</v>
      </c>
      <c r="B25">
        <f t="shared" si="8"/>
        <v>14</v>
      </c>
      <c r="E25" t="s">
        <v>24</v>
      </c>
    </row>
    <row r="26" spans="1:17" x14ac:dyDescent="0.25">
      <c r="A26" s="2">
        <v>1.4</v>
      </c>
      <c r="B26">
        <f t="shared" si="8"/>
        <v>15</v>
      </c>
      <c r="E26" s="11" t="s">
        <v>25</v>
      </c>
    </row>
    <row r="27" spans="1:17" ht="14.45" x14ac:dyDescent="0.3">
      <c r="A27" s="2"/>
      <c r="E27" s="11"/>
      <c r="J27">
        <f>D14*E14</f>
        <v>360</v>
      </c>
    </row>
    <row r="28" spans="1:17" ht="14.45" x14ac:dyDescent="0.3">
      <c r="A28" s="2"/>
      <c r="E28" s="11"/>
      <c r="G28" s="1">
        <v>1</v>
      </c>
      <c r="H28">
        <f>G28/G29</f>
        <v>0.02</v>
      </c>
      <c r="I28">
        <f>K33</f>
        <v>529</v>
      </c>
      <c r="J28">
        <f>D12*G12</f>
        <v>4</v>
      </c>
    </row>
    <row r="29" spans="1:17" ht="14.45" x14ac:dyDescent="0.3">
      <c r="A29" s="2">
        <v>1.4</v>
      </c>
      <c r="B29">
        <f>B26+1</f>
        <v>16</v>
      </c>
      <c r="G29">
        <v>50</v>
      </c>
      <c r="J29">
        <f>D13*G13</f>
        <v>14</v>
      </c>
    </row>
    <row r="30" spans="1:17" ht="14.45" x14ac:dyDescent="0.3">
      <c r="A30" s="2">
        <v>1.5</v>
      </c>
      <c r="B30">
        <f t="shared" si="8"/>
        <v>17</v>
      </c>
      <c r="H30">
        <f>H28*I28</f>
        <v>10.58</v>
      </c>
      <c r="J30">
        <f>D15*G15</f>
        <v>48</v>
      </c>
    </row>
    <row r="31" spans="1:17" ht="14.45" x14ac:dyDescent="0.3">
      <c r="A31" s="2">
        <v>1.6</v>
      </c>
      <c r="B31" s="6">
        <f t="shared" si="8"/>
        <v>18</v>
      </c>
      <c r="E31" t="s">
        <v>21</v>
      </c>
      <c r="J31">
        <f>D16*G16</f>
        <v>45</v>
      </c>
    </row>
    <row r="32" spans="1:17" ht="14.45" x14ac:dyDescent="0.3">
      <c r="A32" s="4">
        <v>1.8</v>
      </c>
      <c r="B32">
        <v>1</v>
      </c>
      <c r="E32" t="s">
        <v>21</v>
      </c>
      <c r="J32">
        <f>D17*G17</f>
        <v>30</v>
      </c>
    </row>
    <row r="33" spans="1:11" ht="14.45" x14ac:dyDescent="0.3">
      <c r="A33" s="4">
        <v>1.9</v>
      </c>
      <c r="B33">
        <f>B32+1</f>
        <v>2</v>
      </c>
      <c r="E33" t="s">
        <v>22</v>
      </c>
      <c r="F33" t="s">
        <v>14</v>
      </c>
      <c r="G33" t="s">
        <v>4</v>
      </c>
      <c r="H33" s="1" t="s">
        <v>28</v>
      </c>
      <c r="J33" s="1">
        <f>D18*G18</f>
        <v>28</v>
      </c>
      <c r="K33">
        <f>SUM(J27:J33)</f>
        <v>529</v>
      </c>
    </row>
    <row r="34" spans="1:11" ht="14.45" x14ac:dyDescent="0.3">
      <c r="A34" s="4">
        <v>2.2999999999999998</v>
      </c>
      <c r="B34">
        <f t="shared" ref="B34:B41" si="11">B33+1</f>
        <v>3</v>
      </c>
      <c r="H34">
        <v>2</v>
      </c>
    </row>
    <row r="35" spans="1:11" ht="14.45" x14ac:dyDescent="0.3">
      <c r="A35" s="4">
        <v>2.4</v>
      </c>
      <c r="B35">
        <f t="shared" si="11"/>
        <v>4</v>
      </c>
      <c r="E35" t="s">
        <v>26</v>
      </c>
    </row>
    <row r="36" spans="1:11" ht="14.45" x14ac:dyDescent="0.3">
      <c r="A36" s="4">
        <v>2.4</v>
      </c>
      <c r="B36">
        <f t="shared" si="11"/>
        <v>5</v>
      </c>
      <c r="E36" s="11" t="s">
        <v>27</v>
      </c>
    </row>
    <row r="37" spans="1:11" ht="14.45" x14ac:dyDescent="0.3">
      <c r="A37" s="4">
        <v>2.5</v>
      </c>
      <c r="B37">
        <f t="shared" si="11"/>
        <v>6</v>
      </c>
    </row>
    <row r="38" spans="1:11" ht="14.45" x14ac:dyDescent="0.3">
      <c r="A38" s="4">
        <v>2.7</v>
      </c>
      <c r="B38">
        <f t="shared" si="11"/>
        <v>7</v>
      </c>
    </row>
    <row r="39" spans="1:11" x14ac:dyDescent="0.25">
      <c r="A39" s="4">
        <v>2.8</v>
      </c>
      <c r="B39">
        <f t="shared" si="11"/>
        <v>8</v>
      </c>
      <c r="E39" t="s">
        <v>142</v>
      </c>
      <c r="F39" s="37">
        <f>P19</f>
        <v>49702.479999999996</v>
      </c>
      <c r="G39">
        <f>F39/F40</f>
        <v>994.04959999999994</v>
      </c>
    </row>
    <row r="40" spans="1:11" ht="14.45" x14ac:dyDescent="0.3">
      <c r="A40" s="4">
        <v>2.8</v>
      </c>
      <c r="B40">
        <f t="shared" si="11"/>
        <v>9</v>
      </c>
      <c r="F40">
        <f>G19</f>
        <v>50</v>
      </c>
    </row>
    <row r="41" spans="1:11" x14ac:dyDescent="0.25">
      <c r="A41" s="4">
        <v>2.9</v>
      </c>
      <c r="B41" s="4">
        <f t="shared" si="11"/>
        <v>10</v>
      </c>
      <c r="G41" t="s">
        <v>145</v>
      </c>
      <c r="H41" s="8">
        <f>SQRT(G39)</f>
        <v>31.52855213929114</v>
      </c>
    </row>
    <row r="42" spans="1:11" ht="14.45" x14ac:dyDescent="0.3">
      <c r="A42" s="7">
        <v>3.1</v>
      </c>
      <c r="B42">
        <v>1</v>
      </c>
    </row>
    <row r="43" spans="1:11" ht="14.45" x14ac:dyDescent="0.3">
      <c r="A43" s="7">
        <v>3.3</v>
      </c>
      <c r="B43">
        <f>B42+1</f>
        <v>2</v>
      </c>
      <c r="E43" t="s">
        <v>140</v>
      </c>
      <c r="H43" s="8">
        <f>POWER(H41,2)</f>
        <v>994.04959999999994</v>
      </c>
    </row>
    <row r="44" spans="1:11" ht="14.45" x14ac:dyDescent="0.3">
      <c r="A44" s="7">
        <v>3.3</v>
      </c>
      <c r="B44">
        <f t="shared" ref="B44:B49" si="12">B43+1</f>
        <v>3</v>
      </c>
    </row>
    <row r="45" spans="1:11" x14ac:dyDescent="0.25">
      <c r="A45" s="7">
        <v>3.4</v>
      </c>
      <c r="B45">
        <f t="shared" si="12"/>
        <v>4</v>
      </c>
      <c r="E45" t="s">
        <v>146</v>
      </c>
    </row>
    <row r="46" spans="1:11" ht="14.45" x14ac:dyDescent="0.3">
      <c r="A46" s="7">
        <v>3.7</v>
      </c>
      <c r="B46">
        <f t="shared" si="12"/>
        <v>5</v>
      </c>
      <c r="F46" s="37">
        <f>N19</f>
        <v>229.52</v>
      </c>
      <c r="G46">
        <f>F46/F47</f>
        <v>4.5903999999999998</v>
      </c>
    </row>
    <row r="47" spans="1:11" ht="14.45" x14ac:dyDescent="0.3">
      <c r="A47" s="7">
        <v>3.8</v>
      </c>
      <c r="B47">
        <f t="shared" si="12"/>
        <v>6</v>
      </c>
      <c r="F47">
        <v>50</v>
      </c>
    </row>
    <row r="48" spans="1:11" ht="14.45" x14ac:dyDescent="0.3">
      <c r="A48" s="7">
        <v>4.2</v>
      </c>
      <c r="B48">
        <f t="shared" si="12"/>
        <v>7</v>
      </c>
    </row>
    <row r="49" spans="1:2" ht="14.45" x14ac:dyDescent="0.3">
      <c r="A49" s="7">
        <v>4.4000000000000004</v>
      </c>
      <c r="B49" s="7">
        <f t="shared" si="12"/>
        <v>8</v>
      </c>
    </row>
    <row r="50" spans="1:2" ht="14.45" x14ac:dyDescent="0.3">
      <c r="A50" s="8">
        <v>4.5999999999999996</v>
      </c>
      <c r="B50">
        <v>1</v>
      </c>
    </row>
    <row r="51" spans="1:2" ht="14.45" x14ac:dyDescent="0.3">
      <c r="A51" s="8">
        <v>4.7</v>
      </c>
      <c r="B51">
        <f>B50+1</f>
        <v>2</v>
      </c>
    </row>
    <row r="52" spans="1:2" ht="14.45" x14ac:dyDescent="0.3">
      <c r="A52" s="8">
        <v>5.2</v>
      </c>
      <c r="B52">
        <f t="shared" ref="B52:B55" si="13">B51+1</f>
        <v>3</v>
      </c>
    </row>
    <row r="53" spans="1:2" ht="14.45" x14ac:dyDescent="0.3">
      <c r="A53" s="8">
        <v>5.5</v>
      </c>
      <c r="B53">
        <f t="shared" si="13"/>
        <v>4</v>
      </c>
    </row>
    <row r="54" spans="1:2" ht="14.45" x14ac:dyDescent="0.3">
      <c r="A54" s="8">
        <v>5.6</v>
      </c>
      <c r="B54">
        <f t="shared" si="13"/>
        <v>5</v>
      </c>
    </row>
    <row r="55" spans="1:2" ht="14.45" x14ac:dyDescent="0.3">
      <c r="A55" s="8">
        <v>5.8</v>
      </c>
      <c r="B55" s="8">
        <f t="shared" si="13"/>
        <v>6</v>
      </c>
    </row>
    <row r="56" spans="1:2" ht="14.45" x14ac:dyDescent="0.3">
      <c r="A56" s="9">
        <v>6.2</v>
      </c>
      <c r="B56">
        <v>1</v>
      </c>
    </row>
    <row r="57" spans="1:2" ht="14.45" x14ac:dyDescent="0.3">
      <c r="A57" s="9">
        <v>6.3</v>
      </c>
      <c r="B57">
        <f>B56+1</f>
        <v>2</v>
      </c>
    </row>
    <row r="58" spans="1:2" ht="14.45" x14ac:dyDescent="0.3">
      <c r="A58" s="9">
        <v>6.8</v>
      </c>
      <c r="B58">
        <f t="shared" ref="B58:B59" si="14">B57+1</f>
        <v>3</v>
      </c>
    </row>
    <row r="59" spans="1:2" ht="14.45" x14ac:dyDescent="0.3">
      <c r="A59" s="9">
        <v>7.2</v>
      </c>
      <c r="B59" s="9">
        <f t="shared" si="14"/>
        <v>4</v>
      </c>
    </row>
    <row r="60" spans="1:2" ht="14.45" x14ac:dyDescent="0.3">
      <c r="A60" s="10">
        <v>7.6</v>
      </c>
      <c r="B60">
        <v>1</v>
      </c>
    </row>
    <row r="61" spans="1:2" ht="14.45" x14ac:dyDescent="0.3">
      <c r="A61" s="10">
        <v>7.8</v>
      </c>
      <c r="B61" s="10">
        <v>2</v>
      </c>
    </row>
    <row r="62" spans="1:2" ht="14.45" x14ac:dyDescent="0.3">
      <c r="A62">
        <v>9.5</v>
      </c>
    </row>
    <row r="63" spans="1:2" ht="14.45" x14ac:dyDescent="0.3">
      <c r="A63">
        <v>9.6999999999999993</v>
      </c>
      <c r="B63">
        <v>2</v>
      </c>
    </row>
  </sheetData>
  <sortState ref="A12:A61">
    <sortCondition ref="A12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5"/>
  <sheetViews>
    <sheetView topLeftCell="C37" workbookViewId="0">
      <selection activeCell="M6" sqref="M6"/>
    </sheetView>
  </sheetViews>
  <sheetFormatPr baseColWidth="10" defaultRowHeight="15" x14ac:dyDescent="0.25"/>
  <cols>
    <col min="7" max="7" width="11.85546875" bestFit="1" customWidth="1"/>
    <col min="12" max="12" width="11.85546875" bestFit="1" customWidth="1"/>
  </cols>
  <sheetData>
    <row r="2" spans="1:17" ht="14.45" x14ac:dyDescent="0.3">
      <c r="A2">
        <f>A1+1</f>
        <v>1</v>
      </c>
      <c r="B2" s="57">
        <v>4</v>
      </c>
      <c r="E2" t="s">
        <v>122</v>
      </c>
      <c r="F2">
        <f>B2</f>
        <v>4</v>
      </c>
    </row>
    <row r="3" spans="1:17" ht="14.45" x14ac:dyDescent="0.3">
      <c r="A3">
        <f>A2+1</f>
        <v>2</v>
      </c>
      <c r="B3" s="57">
        <v>4.8</v>
      </c>
      <c r="E3" t="s">
        <v>123</v>
      </c>
      <c r="F3" s="1">
        <f>B37</f>
        <v>9.1999999999999993</v>
      </c>
    </row>
    <row r="4" spans="1:17" ht="14.45" x14ac:dyDescent="0.3">
      <c r="A4">
        <f t="shared" ref="A4:A37" si="0">A3+1</f>
        <v>3</v>
      </c>
      <c r="B4" s="57">
        <v>5</v>
      </c>
      <c r="F4">
        <f>F3-F2</f>
        <v>5.1999999999999993</v>
      </c>
    </row>
    <row r="5" spans="1:17" ht="14.45" x14ac:dyDescent="0.3">
      <c r="A5">
        <f t="shared" si="0"/>
        <v>4</v>
      </c>
      <c r="B5" s="46">
        <v>5.6</v>
      </c>
      <c r="C5">
        <v>1</v>
      </c>
    </row>
    <row r="6" spans="1:17" ht="14.45" x14ac:dyDescent="0.3">
      <c r="A6">
        <f t="shared" si="0"/>
        <v>5</v>
      </c>
      <c r="B6" s="46">
        <v>5.6</v>
      </c>
      <c r="C6">
        <f>C5+1</f>
        <v>2</v>
      </c>
      <c r="E6" t="s">
        <v>0</v>
      </c>
      <c r="F6">
        <v>36</v>
      </c>
    </row>
    <row r="7" spans="1:17" x14ac:dyDescent="0.25">
      <c r="A7">
        <f t="shared" si="0"/>
        <v>6</v>
      </c>
      <c r="B7" s="46">
        <v>5.6</v>
      </c>
      <c r="C7">
        <f t="shared" ref="C7:C14" si="1">C6+1</f>
        <v>3</v>
      </c>
      <c r="E7" t="s">
        <v>124</v>
      </c>
      <c r="F7" s="14">
        <f>SQRT(F6)</f>
        <v>6</v>
      </c>
    </row>
    <row r="8" spans="1:17" ht="14.45" x14ac:dyDescent="0.3">
      <c r="A8">
        <f t="shared" si="0"/>
        <v>7</v>
      </c>
      <c r="B8" s="46">
        <v>5.7</v>
      </c>
      <c r="C8">
        <f t="shared" si="1"/>
        <v>4</v>
      </c>
    </row>
    <row r="9" spans="1:17" ht="14.45" x14ac:dyDescent="0.3">
      <c r="A9">
        <f t="shared" si="0"/>
        <v>8</v>
      </c>
      <c r="B9" s="46">
        <v>5.7</v>
      </c>
      <c r="C9">
        <f t="shared" si="1"/>
        <v>5</v>
      </c>
      <c r="E9" t="s">
        <v>125</v>
      </c>
      <c r="F9">
        <f>F4</f>
        <v>5.1999999999999993</v>
      </c>
      <c r="G9">
        <f>F9/F10</f>
        <v>0.86666666666666659</v>
      </c>
    </row>
    <row r="10" spans="1:17" ht="14.45" x14ac:dyDescent="0.3">
      <c r="A10">
        <f t="shared" si="0"/>
        <v>9</v>
      </c>
      <c r="B10" s="46">
        <v>5.9</v>
      </c>
      <c r="C10">
        <f t="shared" si="1"/>
        <v>6</v>
      </c>
      <c r="F10">
        <f>F7</f>
        <v>6</v>
      </c>
    </row>
    <row r="11" spans="1:17" ht="14.45" x14ac:dyDescent="0.3">
      <c r="A11">
        <f t="shared" si="0"/>
        <v>10</v>
      </c>
      <c r="B11" s="46">
        <v>6</v>
      </c>
      <c r="C11">
        <f t="shared" si="1"/>
        <v>7</v>
      </c>
      <c r="I11">
        <f>3+10+8+10</f>
        <v>31</v>
      </c>
      <c r="N11">
        <f>6.6-7.5</f>
        <v>-0.90000000000000036</v>
      </c>
      <c r="O11">
        <v>2.16</v>
      </c>
      <c r="P11">
        <f>POWER(O11,2)</f>
        <v>4.6656000000000004</v>
      </c>
    </row>
    <row r="12" spans="1:17" ht="14.45" x14ac:dyDescent="0.3">
      <c r="A12">
        <f t="shared" si="0"/>
        <v>11</v>
      </c>
      <c r="B12" s="46">
        <v>6</v>
      </c>
      <c r="C12">
        <f t="shared" si="1"/>
        <v>8</v>
      </c>
    </row>
    <row r="13" spans="1:17" ht="14.45" x14ac:dyDescent="0.3">
      <c r="A13">
        <f t="shared" si="0"/>
        <v>12</v>
      </c>
      <c r="B13" s="46">
        <v>6</v>
      </c>
      <c r="C13">
        <f t="shared" si="1"/>
        <v>9</v>
      </c>
      <c r="E13" s="59" t="s">
        <v>111</v>
      </c>
      <c r="F13" s="59" t="s">
        <v>12</v>
      </c>
      <c r="G13" s="59" t="s">
        <v>13</v>
      </c>
      <c r="H13" s="59" t="s">
        <v>15</v>
      </c>
      <c r="I13" s="59" t="s">
        <v>141</v>
      </c>
      <c r="J13" s="59" t="s">
        <v>16</v>
      </c>
      <c r="K13" s="59" t="s">
        <v>18</v>
      </c>
      <c r="L13" s="59" t="s">
        <v>19</v>
      </c>
      <c r="M13" s="59" t="s">
        <v>126</v>
      </c>
      <c r="N13" s="59" t="s">
        <v>133</v>
      </c>
      <c r="O13" s="59" t="s">
        <v>134</v>
      </c>
      <c r="P13" s="59" t="s">
        <v>137</v>
      </c>
      <c r="Q13" s="59" t="s">
        <v>135</v>
      </c>
    </row>
    <row r="14" spans="1:17" ht="14.45" x14ac:dyDescent="0.3">
      <c r="A14">
        <f t="shared" si="0"/>
        <v>13</v>
      </c>
      <c r="B14" s="46">
        <v>6</v>
      </c>
      <c r="C14">
        <f t="shared" si="1"/>
        <v>10</v>
      </c>
      <c r="E14" s="61">
        <v>1</v>
      </c>
      <c r="F14" s="61">
        <f>B2</f>
        <v>4</v>
      </c>
      <c r="G14" s="61">
        <f>F14+1</f>
        <v>5</v>
      </c>
      <c r="H14" s="61">
        <v>3</v>
      </c>
      <c r="I14" s="61">
        <f>H14</f>
        <v>3</v>
      </c>
      <c r="J14" s="86">
        <f>H14/H20</f>
        <v>8.3333333333333329E-2</v>
      </c>
      <c r="K14" s="86">
        <f>J14</f>
        <v>8.3333333333333329E-2</v>
      </c>
      <c r="L14">
        <f>(F14+G14)/2</f>
        <v>4.5</v>
      </c>
      <c r="M14">
        <f>L14*H14</f>
        <v>13.5</v>
      </c>
      <c r="N14">
        <f>6.66-L14</f>
        <v>2.16</v>
      </c>
      <c r="O14">
        <f>POWER(N14,2)</f>
        <v>4.6656000000000004</v>
      </c>
      <c r="P14">
        <f>O14*H14</f>
        <v>13.9968</v>
      </c>
      <c r="Q14">
        <f>N14*H14</f>
        <v>6.48</v>
      </c>
    </row>
    <row r="15" spans="1:17" ht="14.45" x14ac:dyDescent="0.3">
      <c r="A15">
        <f t="shared" si="0"/>
        <v>14</v>
      </c>
      <c r="B15" s="58">
        <v>6.1</v>
      </c>
      <c r="C15">
        <v>1</v>
      </c>
      <c r="E15" s="61">
        <v>2</v>
      </c>
      <c r="F15" s="61">
        <v>5</v>
      </c>
      <c r="G15" s="61">
        <f t="shared" ref="G15:G19" si="2">F15+1</f>
        <v>6</v>
      </c>
      <c r="H15" s="61">
        <v>10</v>
      </c>
      <c r="I15" s="61">
        <f>I14+H15</f>
        <v>13</v>
      </c>
      <c r="J15" s="86">
        <f>H15/H20</f>
        <v>0.27777777777777779</v>
      </c>
      <c r="K15" s="86">
        <f>K14+J15</f>
        <v>0.3611111111111111</v>
      </c>
      <c r="L15">
        <f t="shared" ref="L15:L19" si="3">(F15+G15)/2</f>
        <v>5.5</v>
      </c>
      <c r="M15">
        <f t="shared" ref="M15:M19" si="4">L15*H15</f>
        <v>55</v>
      </c>
      <c r="N15">
        <f t="shared" ref="N15:N16" si="5">6.66-L15</f>
        <v>1.1600000000000001</v>
      </c>
      <c r="O15">
        <f t="shared" ref="O15:O19" si="6">POWER(N15,2)</f>
        <v>1.3456000000000004</v>
      </c>
      <c r="P15">
        <f t="shared" ref="P15:P19" si="7">O15*H15</f>
        <v>13.456000000000003</v>
      </c>
      <c r="Q15">
        <f t="shared" ref="Q15:Q19" si="8">N15*H15</f>
        <v>11.600000000000001</v>
      </c>
    </row>
    <row r="16" spans="1:17" ht="14.45" x14ac:dyDescent="0.3">
      <c r="A16">
        <f t="shared" si="0"/>
        <v>15</v>
      </c>
      <c r="B16" s="58">
        <v>6.2</v>
      </c>
      <c r="C16">
        <f>C15+1</f>
        <v>2</v>
      </c>
      <c r="E16" s="61">
        <v>3</v>
      </c>
      <c r="F16" s="61">
        <v>6</v>
      </c>
      <c r="G16" s="61">
        <f t="shared" si="2"/>
        <v>7</v>
      </c>
      <c r="H16" s="61">
        <v>8</v>
      </c>
      <c r="I16" s="61">
        <f t="shared" ref="I16:I19" si="9">I15+H16</f>
        <v>21</v>
      </c>
      <c r="J16" s="86">
        <f>H16/H20</f>
        <v>0.22222222222222221</v>
      </c>
      <c r="K16" s="86">
        <f>K15+J16</f>
        <v>0.58333333333333326</v>
      </c>
      <c r="L16">
        <f t="shared" si="3"/>
        <v>6.5</v>
      </c>
      <c r="M16">
        <f t="shared" si="4"/>
        <v>52</v>
      </c>
      <c r="N16" s="8">
        <f t="shared" si="5"/>
        <v>0.16000000000000014</v>
      </c>
      <c r="O16">
        <f t="shared" si="6"/>
        <v>2.5600000000000046E-2</v>
      </c>
      <c r="P16" s="8">
        <f t="shared" si="7"/>
        <v>0.20480000000000037</v>
      </c>
      <c r="Q16">
        <f t="shared" si="8"/>
        <v>1.2800000000000011</v>
      </c>
    </row>
    <row r="17" spans="1:17" ht="14.45" x14ac:dyDescent="0.3">
      <c r="A17">
        <f t="shared" si="0"/>
        <v>16</v>
      </c>
      <c r="B17" s="58">
        <v>6.4</v>
      </c>
      <c r="C17">
        <f t="shared" ref="C17:C22" si="10">C16+1</f>
        <v>3</v>
      </c>
      <c r="E17" s="61">
        <v>4</v>
      </c>
      <c r="F17" s="61">
        <v>7</v>
      </c>
      <c r="G17" s="61">
        <f t="shared" si="2"/>
        <v>8</v>
      </c>
      <c r="H17" s="61">
        <v>10</v>
      </c>
      <c r="I17" s="61">
        <f t="shared" si="9"/>
        <v>31</v>
      </c>
      <c r="J17" s="86">
        <f>H17/H20</f>
        <v>0.27777777777777779</v>
      </c>
      <c r="K17" s="86">
        <f>K16+J17</f>
        <v>0.86111111111111105</v>
      </c>
      <c r="L17">
        <f t="shared" si="3"/>
        <v>7.5</v>
      </c>
      <c r="M17">
        <f t="shared" si="4"/>
        <v>75</v>
      </c>
      <c r="N17">
        <f>L17-6.66</f>
        <v>0.83999999999999986</v>
      </c>
      <c r="O17">
        <f t="shared" si="6"/>
        <v>0.70559999999999978</v>
      </c>
      <c r="P17" s="8">
        <f t="shared" si="7"/>
        <v>7.0559999999999974</v>
      </c>
      <c r="Q17">
        <f t="shared" si="8"/>
        <v>8.3999999999999986</v>
      </c>
    </row>
    <row r="18" spans="1:17" ht="14.45" x14ac:dyDescent="0.3">
      <c r="A18">
        <f t="shared" si="0"/>
        <v>17</v>
      </c>
      <c r="B18" s="58">
        <v>6.5</v>
      </c>
      <c r="C18">
        <f t="shared" si="10"/>
        <v>4</v>
      </c>
      <c r="E18" s="61">
        <v>5</v>
      </c>
      <c r="F18" s="61">
        <v>8</v>
      </c>
      <c r="G18" s="61">
        <f t="shared" si="2"/>
        <v>9</v>
      </c>
      <c r="H18" s="61">
        <v>3</v>
      </c>
      <c r="I18" s="61">
        <f t="shared" si="9"/>
        <v>34</v>
      </c>
      <c r="J18" s="86">
        <f>H18/H20</f>
        <v>8.3333333333333329E-2</v>
      </c>
      <c r="K18" s="86">
        <f>K17+J18</f>
        <v>0.94444444444444442</v>
      </c>
      <c r="L18">
        <f t="shared" si="3"/>
        <v>8.5</v>
      </c>
      <c r="M18">
        <f t="shared" si="4"/>
        <v>25.5</v>
      </c>
      <c r="N18">
        <f t="shared" ref="N18:N19" si="11">L18-6.66</f>
        <v>1.8399999999999999</v>
      </c>
      <c r="O18">
        <f t="shared" si="6"/>
        <v>3.3855999999999993</v>
      </c>
      <c r="P18">
        <f t="shared" si="7"/>
        <v>10.156799999999997</v>
      </c>
      <c r="Q18">
        <f t="shared" si="8"/>
        <v>5.52</v>
      </c>
    </row>
    <row r="19" spans="1:17" ht="14.45" x14ac:dyDescent="0.3">
      <c r="A19">
        <f t="shared" si="0"/>
        <v>18</v>
      </c>
      <c r="B19" s="58">
        <v>6.5</v>
      </c>
      <c r="C19">
        <f t="shared" si="10"/>
        <v>5</v>
      </c>
      <c r="E19" s="61">
        <v>6</v>
      </c>
      <c r="F19" s="61">
        <v>9</v>
      </c>
      <c r="G19" s="61">
        <f t="shared" si="2"/>
        <v>10</v>
      </c>
      <c r="H19" s="61">
        <v>2</v>
      </c>
      <c r="I19" s="61">
        <f t="shared" si="9"/>
        <v>36</v>
      </c>
      <c r="J19" s="86">
        <f>H19/H20</f>
        <v>5.5555555555555552E-2</v>
      </c>
      <c r="K19" s="86">
        <f>K18+J19</f>
        <v>1</v>
      </c>
      <c r="L19">
        <f t="shared" si="3"/>
        <v>9.5</v>
      </c>
      <c r="M19" s="1">
        <f t="shared" si="4"/>
        <v>19</v>
      </c>
      <c r="N19">
        <f t="shared" si="11"/>
        <v>2.84</v>
      </c>
      <c r="O19">
        <f t="shared" si="6"/>
        <v>8.0655999999999999</v>
      </c>
      <c r="P19" s="1">
        <f t="shared" si="7"/>
        <v>16.1312</v>
      </c>
      <c r="Q19" s="1">
        <f t="shared" si="8"/>
        <v>5.68</v>
      </c>
    </row>
    <row r="20" spans="1:17" ht="14.45" x14ac:dyDescent="0.3">
      <c r="A20">
        <f t="shared" si="0"/>
        <v>19</v>
      </c>
      <c r="B20" s="58">
        <v>6.6</v>
      </c>
      <c r="C20">
        <f t="shared" si="10"/>
        <v>6</v>
      </c>
      <c r="H20">
        <f>SUM(H14:H19)</f>
        <v>36</v>
      </c>
      <c r="J20" s="56">
        <f>SUM(J14:J19)</f>
        <v>1</v>
      </c>
      <c r="M20">
        <f>SUM(M14:M19)</f>
        <v>240</v>
      </c>
      <c r="P20">
        <f>SUM(P14:P19)</f>
        <v>61.001599999999996</v>
      </c>
      <c r="Q20">
        <f>SUM(Q14:Q19)</f>
        <v>38.96</v>
      </c>
    </row>
    <row r="21" spans="1:17" ht="14.45" x14ac:dyDescent="0.3">
      <c r="A21">
        <f t="shared" si="0"/>
        <v>20</v>
      </c>
      <c r="B21" s="58">
        <v>6.6</v>
      </c>
      <c r="C21">
        <f t="shared" si="10"/>
        <v>7</v>
      </c>
    </row>
    <row r="22" spans="1:17" ht="14.45" x14ac:dyDescent="0.3">
      <c r="A22">
        <f t="shared" si="0"/>
        <v>21</v>
      </c>
      <c r="B22" s="58">
        <v>6.7</v>
      </c>
      <c r="C22">
        <f t="shared" si="10"/>
        <v>8</v>
      </c>
    </row>
    <row r="23" spans="1:17" ht="14.45" x14ac:dyDescent="0.3">
      <c r="A23">
        <f t="shared" si="0"/>
        <v>22</v>
      </c>
      <c r="B23" s="42">
        <v>7.2</v>
      </c>
      <c r="C23">
        <v>1</v>
      </c>
      <c r="E23" t="s">
        <v>51</v>
      </c>
      <c r="F23" s="1">
        <f>M20</f>
        <v>240</v>
      </c>
      <c r="G23">
        <f>F23/F24</f>
        <v>6.666666666666667</v>
      </c>
    </row>
    <row r="24" spans="1:17" ht="14.45" x14ac:dyDescent="0.3">
      <c r="A24">
        <f t="shared" si="0"/>
        <v>23</v>
      </c>
      <c r="B24" s="42">
        <v>7.5</v>
      </c>
      <c r="C24">
        <f>C23+1</f>
        <v>2</v>
      </c>
      <c r="F24">
        <f>H20</f>
        <v>36</v>
      </c>
    </row>
    <row r="25" spans="1:17" ht="14.45" x14ac:dyDescent="0.3">
      <c r="A25">
        <f t="shared" si="0"/>
        <v>24</v>
      </c>
      <c r="B25" s="42">
        <v>7.6</v>
      </c>
      <c r="C25">
        <f t="shared" ref="C25:C32" si="12">C24+1</f>
        <v>3</v>
      </c>
    </row>
    <row r="26" spans="1:17" ht="14.45" x14ac:dyDescent="0.3">
      <c r="A26">
        <f t="shared" si="0"/>
        <v>25</v>
      </c>
      <c r="B26" s="42">
        <v>7.7</v>
      </c>
      <c r="C26">
        <f t="shared" si="12"/>
        <v>4</v>
      </c>
    </row>
    <row r="27" spans="1:17" ht="14.45" x14ac:dyDescent="0.3">
      <c r="A27">
        <f t="shared" si="0"/>
        <v>26</v>
      </c>
      <c r="B27" s="42">
        <v>7.7</v>
      </c>
      <c r="C27">
        <f t="shared" si="12"/>
        <v>5</v>
      </c>
      <c r="E27" t="s">
        <v>36</v>
      </c>
      <c r="F27" t="s">
        <v>104</v>
      </c>
      <c r="G27" s="1">
        <f>F24</f>
        <v>36</v>
      </c>
      <c r="H27">
        <f>G27/G28</f>
        <v>18</v>
      </c>
    </row>
    <row r="28" spans="1:17" ht="14.45" x14ac:dyDescent="0.3">
      <c r="A28">
        <f t="shared" si="0"/>
        <v>27</v>
      </c>
      <c r="B28" s="42">
        <v>7.9</v>
      </c>
      <c r="C28">
        <f t="shared" si="12"/>
        <v>6</v>
      </c>
      <c r="F28">
        <v>2</v>
      </c>
      <c r="G28">
        <v>2</v>
      </c>
    </row>
    <row r="29" spans="1:17" ht="14.45" x14ac:dyDescent="0.3">
      <c r="A29">
        <f t="shared" si="0"/>
        <v>28</v>
      </c>
      <c r="B29" s="42">
        <v>8</v>
      </c>
      <c r="C29">
        <f t="shared" si="12"/>
        <v>7</v>
      </c>
    </row>
    <row r="30" spans="1:17" ht="14.45" x14ac:dyDescent="0.3">
      <c r="A30">
        <f t="shared" si="0"/>
        <v>29</v>
      </c>
      <c r="B30" s="42">
        <v>8</v>
      </c>
      <c r="C30">
        <f t="shared" si="12"/>
        <v>8</v>
      </c>
      <c r="E30" t="s">
        <v>111</v>
      </c>
      <c r="F30" t="s">
        <v>15</v>
      </c>
    </row>
    <row r="31" spans="1:17" ht="14.45" x14ac:dyDescent="0.3">
      <c r="A31">
        <f t="shared" si="0"/>
        <v>30</v>
      </c>
      <c r="B31" s="42">
        <v>8</v>
      </c>
      <c r="C31">
        <f t="shared" si="12"/>
        <v>9</v>
      </c>
      <c r="E31">
        <v>1</v>
      </c>
      <c r="F31">
        <f>H14</f>
        <v>3</v>
      </c>
    </row>
    <row r="32" spans="1:17" ht="14.45" x14ac:dyDescent="0.3">
      <c r="A32">
        <f t="shared" si="0"/>
        <v>31</v>
      </c>
      <c r="B32" s="42">
        <v>8</v>
      </c>
      <c r="C32">
        <f t="shared" si="12"/>
        <v>10</v>
      </c>
      <c r="E32">
        <v>2</v>
      </c>
      <c r="F32">
        <f>H15</f>
        <v>10</v>
      </c>
      <c r="G32">
        <f>13</f>
        <v>13</v>
      </c>
    </row>
    <row r="33" spans="1:12" ht="14.45" x14ac:dyDescent="0.3">
      <c r="A33">
        <f t="shared" si="0"/>
        <v>32</v>
      </c>
      <c r="B33" s="47">
        <v>8.1</v>
      </c>
      <c r="E33" s="47">
        <v>3</v>
      </c>
      <c r="F33" s="47">
        <f>H16</f>
        <v>8</v>
      </c>
      <c r="G33" s="1">
        <v>8</v>
      </c>
    </row>
    <row r="34" spans="1:12" ht="14.45" x14ac:dyDescent="0.3">
      <c r="A34">
        <f t="shared" si="0"/>
        <v>33</v>
      </c>
      <c r="B34" s="47">
        <v>8.1999999999999993</v>
      </c>
      <c r="G34">
        <f>G32+G33</f>
        <v>21</v>
      </c>
    </row>
    <row r="35" spans="1:12" ht="14.45" x14ac:dyDescent="0.3">
      <c r="A35">
        <f t="shared" si="0"/>
        <v>34</v>
      </c>
      <c r="B35" s="47">
        <v>9</v>
      </c>
    </row>
    <row r="36" spans="1:12" ht="14.45" x14ac:dyDescent="0.3">
      <c r="A36">
        <f t="shared" si="0"/>
        <v>35</v>
      </c>
      <c r="B36">
        <v>9.1999999999999993</v>
      </c>
      <c r="E36">
        <v>5.5</v>
      </c>
      <c r="F36" t="s">
        <v>63</v>
      </c>
      <c r="G36" s="1">
        <f>(18-13)</f>
        <v>5</v>
      </c>
      <c r="H36" t="s">
        <v>127</v>
      </c>
    </row>
    <row r="37" spans="1:12" ht="14.45" x14ac:dyDescent="0.3">
      <c r="A37">
        <f t="shared" si="0"/>
        <v>36</v>
      </c>
      <c r="B37">
        <v>9.1999999999999993</v>
      </c>
      <c r="G37">
        <v>8</v>
      </c>
    </row>
    <row r="38" spans="1:12" ht="14.45" x14ac:dyDescent="0.3">
      <c r="E38">
        <v>5.5</v>
      </c>
      <c r="F38" t="s">
        <v>63</v>
      </c>
      <c r="G38">
        <f>(5/8)*(7.5-5.5)</f>
        <v>1.25</v>
      </c>
      <c r="H38" t="s">
        <v>14</v>
      </c>
      <c r="J38" s="7">
        <f>E38+G38</f>
        <v>6.75</v>
      </c>
      <c r="K38" s="7"/>
      <c r="L38" s="7"/>
    </row>
    <row r="39" spans="1:12" ht="14.45" x14ac:dyDescent="0.3">
      <c r="J39" s="7" t="s">
        <v>128</v>
      </c>
      <c r="K39" s="7"/>
      <c r="L39" s="7"/>
    </row>
    <row r="41" spans="1:12" ht="14.45" x14ac:dyDescent="0.3">
      <c r="E41">
        <v>5.5</v>
      </c>
      <c r="F41" t="s">
        <v>63</v>
      </c>
      <c r="G41" s="1">
        <f>A37/2</f>
        <v>18</v>
      </c>
      <c r="H41" s="1" t="s">
        <v>21</v>
      </c>
      <c r="I41" s="1"/>
      <c r="J41" s="1">
        <v>7</v>
      </c>
      <c r="K41">
        <f>(7.5-5.5)</f>
        <v>2</v>
      </c>
    </row>
    <row r="42" spans="1:12" ht="14.45" x14ac:dyDescent="0.3">
      <c r="H42">
        <f>F33</f>
        <v>8</v>
      </c>
    </row>
    <row r="44" spans="1:12" ht="14.45" x14ac:dyDescent="0.3">
      <c r="E44">
        <f>E41</f>
        <v>5.5</v>
      </c>
      <c r="F44" t="s">
        <v>63</v>
      </c>
      <c r="G44">
        <f>(18-13)/8</f>
        <v>0.625</v>
      </c>
      <c r="H44">
        <f>K41</f>
        <v>2</v>
      </c>
    </row>
    <row r="45" spans="1:12" ht="14.45" x14ac:dyDescent="0.3">
      <c r="E45">
        <f>E44</f>
        <v>5.5</v>
      </c>
      <c r="F45" t="s">
        <v>63</v>
      </c>
      <c r="G45">
        <f>G44*H44</f>
        <v>1.25</v>
      </c>
      <c r="H45" t="s">
        <v>14</v>
      </c>
      <c r="J45" s="7">
        <f>E45+G45</f>
        <v>6.75</v>
      </c>
      <c r="K45" s="7"/>
      <c r="L45" s="7"/>
    </row>
    <row r="46" spans="1:12" ht="14.45" x14ac:dyDescent="0.3">
      <c r="J46" s="7" t="s">
        <v>129</v>
      </c>
      <c r="K46" s="7"/>
      <c r="L46" s="7"/>
    </row>
    <row r="48" spans="1:12" ht="14.45" x14ac:dyDescent="0.3">
      <c r="D48" t="s">
        <v>43</v>
      </c>
    </row>
    <row r="50" spans="4:23" ht="14.45" x14ac:dyDescent="0.3">
      <c r="D50" s="60">
        <v>4</v>
      </c>
      <c r="E50" s="60">
        <f t="shared" ref="E50:E55" si="13">D50+1</f>
        <v>5</v>
      </c>
      <c r="F50" s="60">
        <v>3</v>
      </c>
    </row>
    <row r="51" spans="4:23" ht="14.45" x14ac:dyDescent="0.3">
      <c r="D51" s="38">
        <v>5</v>
      </c>
      <c r="E51" s="38">
        <f t="shared" si="13"/>
        <v>6</v>
      </c>
      <c r="F51" s="38">
        <v>10</v>
      </c>
      <c r="H51">
        <v>5</v>
      </c>
      <c r="J51" t="s">
        <v>63</v>
      </c>
      <c r="K51" s="1">
        <v>10</v>
      </c>
      <c r="L51" s="1" t="s">
        <v>21</v>
      </c>
      <c r="M51" s="1">
        <v>3</v>
      </c>
      <c r="N51" s="50">
        <v>1</v>
      </c>
    </row>
    <row r="52" spans="4:23" ht="14.45" x14ac:dyDescent="0.3">
      <c r="D52" s="61">
        <f>E51</f>
        <v>6</v>
      </c>
      <c r="E52" s="61">
        <f t="shared" si="13"/>
        <v>7</v>
      </c>
      <c r="F52" s="61">
        <v>8</v>
      </c>
      <c r="K52" t="s">
        <v>130</v>
      </c>
      <c r="S52">
        <f>18-7</f>
        <v>11</v>
      </c>
      <c r="T52">
        <f>S52/S53</f>
        <v>0.91666666666666663</v>
      </c>
      <c r="U52">
        <v>0.9</v>
      </c>
      <c r="V52">
        <f>U52*T52</f>
        <v>0.82499999999999996</v>
      </c>
    </row>
    <row r="53" spans="4:23" ht="14.45" x14ac:dyDescent="0.3">
      <c r="D53" s="60">
        <f>E52</f>
        <v>7</v>
      </c>
      <c r="E53" s="60">
        <f t="shared" si="13"/>
        <v>8</v>
      </c>
      <c r="F53" s="60">
        <v>10</v>
      </c>
      <c r="S53">
        <v>12</v>
      </c>
    </row>
    <row r="54" spans="4:23" ht="14.45" x14ac:dyDescent="0.3">
      <c r="D54" s="60">
        <f>E53</f>
        <v>8</v>
      </c>
      <c r="E54" s="60">
        <f t="shared" si="13"/>
        <v>9</v>
      </c>
      <c r="F54" s="60">
        <v>3</v>
      </c>
    </row>
    <row r="55" spans="4:23" ht="14.45" x14ac:dyDescent="0.3">
      <c r="D55" s="60">
        <f>E54</f>
        <v>9</v>
      </c>
      <c r="E55" s="60">
        <f t="shared" si="13"/>
        <v>10</v>
      </c>
      <c r="F55" s="60">
        <v>2</v>
      </c>
      <c r="H55">
        <f>H51</f>
        <v>5</v>
      </c>
      <c r="J55" t="s">
        <v>63</v>
      </c>
      <c r="K55" s="1">
        <f>10-3</f>
        <v>7</v>
      </c>
      <c r="L55">
        <v>1</v>
      </c>
      <c r="V55">
        <v>5.5</v>
      </c>
      <c r="W55">
        <f>V55+V52</f>
        <v>6.3250000000000002</v>
      </c>
    </row>
    <row r="56" spans="4:23" ht="14.45" x14ac:dyDescent="0.3">
      <c r="K56">
        <f>(2*10)-3-8</f>
        <v>9</v>
      </c>
      <c r="S56">
        <f>12-7</f>
        <v>5</v>
      </c>
      <c r="T56">
        <f>S56/S57</f>
        <v>0.45454545454545453</v>
      </c>
      <c r="U56">
        <f>T56*0.9</f>
        <v>0.40909090909090906</v>
      </c>
    </row>
    <row r="57" spans="4:23" ht="14.45" x14ac:dyDescent="0.3">
      <c r="S57">
        <f>24-7-6</f>
        <v>11</v>
      </c>
      <c r="U57">
        <v>6</v>
      </c>
      <c r="V57">
        <f>U57+U56</f>
        <v>6.4090909090909092</v>
      </c>
    </row>
    <row r="58" spans="4:23" ht="14.45" x14ac:dyDescent="0.3">
      <c r="K58">
        <f>K55/K56</f>
        <v>0.77777777777777779</v>
      </c>
    </row>
    <row r="59" spans="4:23" ht="14.45" x14ac:dyDescent="0.3">
      <c r="H59">
        <f>H55</f>
        <v>5</v>
      </c>
      <c r="J59" t="s">
        <v>63</v>
      </c>
      <c r="K59">
        <f>K58*1</f>
        <v>0.77777777777777779</v>
      </c>
      <c r="L59" t="s">
        <v>14</v>
      </c>
      <c r="M59" s="8">
        <f>H59+K59</f>
        <v>5.7777777777777777</v>
      </c>
      <c r="S59">
        <f>12-7</f>
        <v>5</v>
      </c>
      <c r="T59">
        <f>12-6</f>
        <v>6</v>
      </c>
      <c r="U59">
        <f>S59+T59</f>
        <v>11</v>
      </c>
    </row>
    <row r="62" spans="4:23" x14ac:dyDescent="0.25">
      <c r="D62" s="60">
        <v>4</v>
      </c>
      <c r="E62" s="60">
        <f t="shared" ref="E62:E67" si="14">D62+1</f>
        <v>5</v>
      </c>
      <c r="F62" s="60">
        <v>3</v>
      </c>
    </row>
    <row r="63" spans="4:23" x14ac:dyDescent="0.25">
      <c r="D63" s="61">
        <v>5</v>
      </c>
      <c r="E63" s="61">
        <f t="shared" si="14"/>
        <v>6</v>
      </c>
      <c r="F63" s="61">
        <v>10</v>
      </c>
    </row>
    <row r="64" spans="4:23" x14ac:dyDescent="0.25">
      <c r="D64" s="61">
        <f>E63</f>
        <v>6</v>
      </c>
      <c r="E64" s="61">
        <f t="shared" si="14"/>
        <v>7</v>
      </c>
      <c r="F64" s="61">
        <v>8</v>
      </c>
      <c r="H64">
        <v>7</v>
      </c>
      <c r="J64" t="s">
        <v>63</v>
      </c>
      <c r="K64" s="1">
        <f>F65</f>
        <v>10</v>
      </c>
      <c r="L64" s="1" t="s">
        <v>21</v>
      </c>
      <c r="M64" s="1">
        <v>8</v>
      </c>
      <c r="N64">
        <v>1</v>
      </c>
    </row>
    <row r="65" spans="2:13" x14ac:dyDescent="0.25">
      <c r="D65" s="39">
        <f>E64</f>
        <v>7</v>
      </c>
      <c r="E65" s="39">
        <f t="shared" si="14"/>
        <v>8</v>
      </c>
      <c r="F65" s="39">
        <v>10</v>
      </c>
      <c r="K65" t="s">
        <v>131</v>
      </c>
    </row>
    <row r="66" spans="2:13" x14ac:dyDescent="0.25">
      <c r="D66" s="60">
        <f>E65</f>
        <v>8</v>
      </c>
      <c r="E66" s="60">
        <f t="shared" si="14"/>
        <v>9</v>
      </c>
      <c r="F66" s="60">
        <v>3</v>
      </c>
    </row>
    <row r="67" spans="2:13" x14ac:dyDescent="0.25">
      <c r="D67" s="60">
        <f>E66</f>
        <v>9</v>
      </c>
      <c r="E67" s="60">
        <f t="shared" si="14"/>
        <v>10</v>
      </c>
      <c r="F67" s="60">
        <v>2</v>
      </c>
    </row>
    <row r="68" spans="2:13" x14ac:dyDescent="0.25">
      <c r="H68">
        <f>H64</f>
        <v>7</v>
      </c>
      <c r="J68" t="s">
        <v>63</v>
      </c>
      <c r="K68" s="1">
        <f>10-8</f>
        <v>2</v>
      </c>
      <c r="L68">
        <v>1</v>
      </c>
    </row>
    <row r="69" spans="2:13" x14ac:dyDescent="0.25">
      <c r="K69" s="56">
        <f>(2*10)-8-3</f>
        <v>9</v>
      </c>
    </row>
    <row r="71" spans="2:13" x14ac:dyDescent="0.25">
      <c r="H71">
        <v>7</v>
      </c>
      <c r="J71" t="s">
        <v>63</v>
      </c>
      <c r="K71">
        <f>K68/9</f>
        <v>0.22222222222222221</v>
      </c>
      <c r="L71" t="s">
        <v>14</v>
      </c>
      <c r="M71" s="7">
        <f>H71+K71</f>
        <v>7.2222222222222223</v>
      </c>
    </row>
    <row r="73" spans="2:13" x14ac:dyDescent="0.25">
      <c r="B73" t="s">
        <v>132</v>
      </c>
    </row>
    <row r="75" spans="2:13" x14ac:dyDescent="0.25">
      <c r="B75" t="s">
        <v>136</v>
      </c>
      <c r="D75" s="1">
        <f>Q20</f>
        <v>38.96</v>
      </c>
      <c r="E75" s="5">
        <f>D75/D76</f>
        <v>1.0822222222222222</v>
      </c>
    </row>
    <row r="76" spans="2:13" x14ac:dyDescent="0.25">
      <c r="D76">
        <f>H20</f>
        <v>36</v>
      </c>
    </row>
    <row r="78" spans="2:13" x14ac:dyDescent="0.25">
      <c r="B78" t="s">
        <v>138</v>
      </c>
      <c r="D78" s="1">
        <f>P20</f>
        <v>61.001599999999996</v>
      </c>
      <c r="E78">
        <f>D78/D79</f>
        <v>1.6944888888888887</v>
      </c>
      <c r="G78">
        <v>60.8</v>
      </c>
      <c r="H78">
        <f>G78/G79</f>
        <v>1.6888888888888889</v>
      </c>
    </row>
    <row r="79" spans="2:13" x14ac:dyDescent="0.25">
      <c r="D79">
        <f>D76</f>
        <v>36</v>
      </c>
      <c r="G79">
        <v>36</v>
      </c>
      <c r="H79">
        <f>SQRT(H78)</f>
        <v>1.2995725793078619</v>
      </c>
    </row>
    <row r="81" spans="2:8" x14ac:dyDescent="0.25">
      <c r="E81" t="s">
        <v>139</v>
      </c>
      <c r="H81">
        <f>POWER(H79,2)</f>
        <v>1.6888888888888889</v>
      </c>
    </row>
    <row r="82" spans="2:8" x14ac:dyDescent="0.25">
      <c r="E82">
        <f>E78</f>
        <v>1.6944888888888887</v>
      </c>
      <c r="F82" t="s">
        <v>14</v>
      </c>
    </row>
    <row r="83" spans="2:8" x14ac:dyDescent="0.25">
      <c r="E83" s="5">
        <f>SQRT(E82)</f>
        <v>1.3017253507898234</v>
      </c>
    </row>
    <row r="85" spans="2:8" x14ac:dyDescent="0.25">
      <c r="B85" t="s">
        <v>140</v>
      </c>
      <c r="E85" s="5">
        <f>POWER(E83,2)</f>
        <v>1.6944888888888889</v>
      </c>
    </row>
  </sheetData>
  <sortState ref="A2:B37">
    <sortCondition ref="B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opLeftCell="A16" workbookViewId="0"/>
  </sheetViews>
  <sheetFormatPr baseColWidth="10" defaultRowHeight="15" x14ac:dyDescent="0.25"/>
  <sheetData>
    <row r="2" spans="1:6" x14ac:dyDescent="0.3">
      <c r="B2" s="36"/>
      <c r="C2" s="36"/>
      <c r="D2" s="36"/>
      <c r="E2" s="36"/>
      <c r="F2" s="36"/>
    </row>
    <row r="3" spans="1:6" x14ac:dyDescent="0.3">
      <c r="B3" s="36">
        <v>36</v>
      </c>
      <c r="C3" s="36"/>
      <c r="D3" s="36"/>
      <c r="E3" s="36"/>
      <c r="F3" s="36"/>
    </row>
    <row r="4" spans="1:6" x14ac:dyDescent="0.3">
      <c r="B4" s="36">
        <f>SQRT(36)</f>
        <v>6</v>
      </c>
      <c r="C4" s="36"/>
      <c r="D4" s="36"/>
      <c r="E4" s="36"/>
      <c r="F4" s="36"/>
    </row>
    <row r="5" spans="1:6" x14ac:dyDescent="0.3">
      <c r="B5" s="36"/>
      <c r="C5" s="36"/>
      <c r="D5" s="36"/>
      <c r="E5" s="36"/>
      <c r="F5" s="36"/>
    </row>
    <row r="6" spans="1:6" x14ac:dyDescent="0.3">
      <c r="B6" s="36">
        <v>3</v>
      </c>
      <c r="C6" s="36">
        <f>B6/B7</f>
        <v>0.5</v>
      </c>
      <c r="D6" s="36"/>
      <c r="E6" s="36"/>
      <c r="F6" s="36"/>
    </row>
    <row r="7" spans="1:6" x14ac:dyDescent="0.3">
      <c r="B7" s="36">
        <f>B4</f>
        <v>6</v>
      </c>
      <c r="C7" s="36"/>
      <c r="D7" s="36"/>
      <c r="E7" s="36"/>
      <c r="F7" s="36"/>
    </row>
    <row r="8" spans="1:6" x14ac:dyDescent="0.3">
      <c r="B8" s="36"/>
      <c r="C8" s="36"/>
      <c r="D8" s="36"/>
      <c r="E8" s="36"/>
      <c r="F8" s="36"/>
    </row>
    <row r="9" spans="1:6" x14ac:dyDescent="0.3">
      <c r="B9" s="36">
        <v>1.96</v>
      </c>
      <c r="C9" s="36">
        <f>B9*C6</f>
        <v>0.98</v>
      </c>
      <c r="D9" s="36"/>
      <c r="E9" s="36"/>
      <c r="F9" s="36"/>
    </row>
    <row r="10" spans="1:6" x14ac:dyDescent="0.3">
      <c r="B10" s="36"/>
      <c r="C10" s="36"/>
      <c r="D10" s="36"/>
      <c r="E10" s="36"/>
      <c r="F10" s="36"/>
    </row>
    <row r="11" spans="1:6" x14ac:dyDescent="0.3">
      <c r="B11" s="36"/>
      <c r="C11" s="36"/>
      <c r="D11" s="36"/>
      <c r="E11" s="36"/>
      <c r="F11" s="36"/>
    </row>
    <row r="12" spans="1:6" x14ac:dyDescent="0.3">
      <c r="B12" s="36"/>
      <c r="C12" s="36"/>
      <c r="D12" s="36"/>
      <c r="E12" s="36"/>
      <c r="F12" s="36"/>
    </row>
    <row r="13" spans="1:6" x14ac:dyDescent="0.3">
      <c r="B13" s="36"/>
      <c r="C13" s="36"/>
      <c r="D13" s="36"/>
      <c r="E13" s="36"/>
      <c r="F13" s="36"/>
    </row>
    <row r="14" spans="1:6" x14ac:dyDescent="0.3">
      <c r="D14" s="36"/>
    </row>
    <row r="15" spans="1:6" x14ac:dyDescent="0.3">
      <c r="A15">
        <v>1</v>
      </c>
      <c r="B15">
        <v>4</v>
      </c>
      <c r="C15">
        <f>B15+1</f>
        <v>5</v>
      </c>
    </row>
    <row r="16" spans="1:6" x14ac:dyDescent="0.3">
      <c r="A16">
        <v>2</v>
      </c>
      <c r="B16">
        <v>5</v>
      </c>
      <c r="C16">
        <v>6</v>
      </c>
    </row>
    <row r="17" spans="1:3" x14ac:dyDescent="0.3">
      <c r="A17">
        <v>3</v>
      </c>
      <c r="B17">
        <v>6</v>
      </c>
      <c r="C17">
        <v>7</v>
      </c>
    </row>
    <row r="18" spans="1:3" x14ac:dyDescent="0.3">
      <c r="A18">
        <v>4</v>
      </c>
      <c r="B18">
        <v>7</v>
      </c>
      <c r="C18">
        <v>8</v>
      </c>
    </row>
    <row r="19" spans="1:3" x14ac:dyDescent="0.3">
      <c r="A19">
        <v>5</v>
      </c>
      <c r="B19">
        <v>8</v>
      </c>
      <c r="C19">
        <v>9</v>
      </c>
    </row>
    <row r="20" spans="1:3" x14ac:dyDescent="0.3">
      <c r="A20">
        <v>6</v>
      </c>
      <c r="B20">
        <v>9</v>
      </c>
      <c r="C20"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3"/>
  <sheetViews>
    <sheetView workbookViewId="0"/>
  </sheetViews>
  <sheetFormatPr baseColWidth="10" defaultRowHeight="15" x14ac:dyDescent="0.25"/>
  <sheetData>
    <row r="1" spans="1:26" ht="14.45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4.45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4.45" x14ac:dyDescent="0.3">
      <c r="A3" s="36"/>
      <c r="B3" s="36">
        <v>40</v>
      </c>
      <c r="C3" s="36"/>
      <c r="D3" s="36"/>
      <c r="E3" s="36"/>
      <c r="F3" s="36" t="s">
        <v>0</v>
      </c>
      <c r="G3" s="37">
        <f>B3</f>
        <v>40</v>
      </c>
      <c r="H3" s="36">
        <f>G3/G4</f>
        <v>20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4.45" x14ac:dyDescent="0.3">
      <c r="A4" s="36" t="s">
        <v>10</v>
      </c>
      <c r="B4" s="36">
        <f>SQRT(B3)</f>
        <v>6.324555320336759</v>
      </c>
      <c r="C4" s="36"/>
      <c r="D4" s="36"/>
      <c r="E4" s="36"/>
      <c r="F4" s="36"/>
      <c r="G4" s="36">
        <v>2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4.45" x14ac:dyDescent="0.3">
      <c r="A5" s="36" t="s">
        <v>153</v>
      </c>
      <c r="B5" s="36">
        <v>50</v>
      </c>
      <c r="C5" s="36">
        <v>10</v>
      </c>
      <c r="D5" s="36">
        <f>B5-C5</f>
        <v>40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4.45" x14ac:dyDescent="0.3">
      <c r="A6" s="36" t="s">
        <v>154</v>
      </c>
      <c r="B6" s="36">
        <f>D5/6</f>
        <v>6.666666666666667</v>
      </c>
      <c r="C6" s="36">
        <v>6.7</v>
      </c>
      <c r="D6" s="36"/>
      <c r="E6" s="36"/>
      <c r="F6" s="36"/>
      <c r="G6" s="36"/>
      <c r="H6" s="36"/>
      <c r="I6" s="36"/>
      <c r="J6" s="36"/>
      <c r="K6" s="36"/>
      <c r="L6" s="36">
        <f>13-7</f>
        <v>6</v>
      </c>
      <c r="M6" s="36">
        <f>L6/L7</f>
        <v>0.42857142857142855</v>
      </c>
      <c r="N6" s="36">
        <f>M6*3.7</f>
        <v>1.5857142857142856</v>
      </c>
      <c r="O6" s="36">
        <f>N6+9.4</f>
        <v>10.985714285714286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4.45" x14ac:dyDescent="0.3">
      <c r="A7" s="36"/>
      <c r="B7" s="36"/>
      <c r="C7" s="36"/>
      <c r="D7" s="36"/>
      <c r="E7" s="36"/>
      <c r="F7" s="36"/>
      <c r="G7" s="36"/>
      <c r="H7" s="36"/>
      <c r="I7" s="36" t="s">
        <v>43</v>
      </c>
      <c r="J7" s="36"/>
      <c r="K7" s="36"/>
      <c r="L7" s="36">
        <f>26-12</f>
        <v>14</v>
      </c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4.45" x14ac:dyDescent="0.3">
      <c r="A8" s="36"/>
      <c r="B8" s="36"/>
      <c r="C8" s="36"/>
      <c r="D8" s="36" t="s">
        <v>19</v>
      </c>
      <c r="E8" s="36" t="s">
        <v>126</v>
      </c>
      <c r="F8" s="36" t="s">
        <v>15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4.45" x14ac:dyDescent="0.3">
      <c r="A9" s="36">
        <v>1</v>
      </c>
      <c r="B9" s="36">
        <v>10</v>
      </c>
      <c r="C9" s="36">
        <f>B9+C6</f>
        <v>16.7</v>
      </c>
      <c r="D9" s="36">
        <f>(B9+C9)/2</f>
        <v>13.35</v>
      </c>
      <c r="E9" s="36">
        <f>D9*F9</f>
        <v>213.6</v>
      </c>
      <c r="F9" s="36">
        <v>16</v>
      </c>
      <c r="G9" s="36">
        <f>(11.69-D9)*F9</f>
        <v>-26.560000000000002</v>
      </c>
      <c r="H9" s="36"/>
      <c r="I9" s="36">
        <f>B11</f>
        <v>23.4</v>
      </c>
      <c r="J9" s="36" t="s">
        <v>63</v>
      </c>
      <c r="K9" s="37">
        <f>F11</f>
        <v>9</v>
      </c>
      <c r="L9" s="37" t="s">
        <v>21</v>
      </c>
      <c r="M9" s="37">
        <f>F10</f>
        <v>8</v>
      </c>
      <c r="N9" s="37"/>
      <c r="O9" s="37"/>
      <c r="P9" s="37"/>
      <c r="Q9" s="36">
        <f>(C11-B11)</f>
        <v>6.6999999999999993</v>
      </c>
      <c r="R9" s="36"/>
      <c r="S9" s="36"/>
      <c r="T9" s="36"/>
      <c r="U9" s="36"/>
      <c r="V9" s="36"/>
      <c r="W9" s="36"/>
      <c r="X9" s="36"/>
      <c r="Y9" s="36"/>
      <c r="Z9" s="36"/>
    </row>
    <row r="10" spans="1:26" ht="14.45" x14ac:dyDescent="0.3">
      <c r="A10" s="36">
        <v>2</v>
      </c>
      <c r="B10" s="52">
        <f>C9</f>
        <v>16.7</v>
      </c>
      <c r="C10" s="52">
        <f>B10+C6</f>
        <v>23.4</v>
      </c>
      <c r="D10" s="52">
        <f t="shared" ref="D10:D14" si="0">(B10+C10)/2</f>
        <v>20.049999999999997</v>
      </c>
      <c r="E10" s="52">
        <f t="shared" ref="E10:E14" si="1">D10*F10</f>
        <v>160.39999999999998</v>
      </c>
      <c r="F10" s="52">
        <v>8</v>
      </c>
      <c r="G10" s="52">
        <f t="shared" ref="G10:G11" si="2">(11.69-D10)*F10</f>
        <v>-66.879999999999981</v>
      </c>
      <c r="H10" s="85"/>
      <c r="I10" s="36"/>
      <c r="J10" s="36"/>
      <c r="K10" s="36"/>
      <c r="L10" s="36">
        <f>K9*2</f>
        <v>18</v>
      </c>
      <c r="M10" s="36" t="s">
        <v>21</v>
      </c>
      <c r="N10" s="36">
        <f>F10</f>
        <v>8</v>
      </c>
      <c r="O10" s="36" t="s">
        <v>21</v>
      </c>
      <c r="P10" s="36">
        <f>F12</f>
        <v>1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4.45" x14ac:dyDescent="0.3">
      <c r="A11" s="36">
        <v>3</v>
      </c>
      <c r="B11" s="85">
        <f>C10</f>
        <v>23.4</v>
      </c>
      <c r="C11" s="85">
        <f>B11+C6</f>
        <v>30.099999999999998</v>
      </c>
      <c r="D11" s="85">
        <f t="shared" si="0"/>
        <v>26.75</v>
      </c>
      <c r="E11" s="85">
        <f t="shared" si="1"/>
        <v>240.75</v>
      </c>
      <c r="F11" s="85">
        <v>9</v>
      </c>
      <c r="G11" s="85">
        <f t="shared" si="2"/>
        <v>-135.54</v>
      </c>
      <c r="H11" s="8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4.45" x14ac:dyDescent="0.3">
      <c r="A12" s="36">
        <v>4</v>
      </c>
      <c r="B12" s="36">
        <f>C11</f>
        <v>30.099999999999998</v>
      </c>
      <c r="C12" s="36">
        <f>B12+C6</f>
        <v>36.799999999999997</v>
      </c>
      <c r="D12" s="36">
        <f t="shared" si="0"/>
        <v>33.449999999999996</v>
      </c>
      <c r="E12" s="36">
        <f t="shared" si="1"/>
        <v>33.449999999999996</v>
      </c>
      <c r="F12" s="36">
        <v>1</v>
      </c>
      <c r="G12" s="36">
        <f>(D12-11.69)*F12</f>
        <v>21.759999999999998</v>
      </c>
      <c r="H12" s="36"/>
      <c r="I12" s="36"/>
      <c r="J12" s="36"/>
      <c r="K12" s="36"/>
      <c r="L12" s="36">
        <f>(K9-M9)/(L10-N10-P10)</f>
        <v>0.1111111111111111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4.45" x14ac:dyDescent="0.3">
      <c r="A13" s="36">
        <v>5</v>
      </c>
      <c r="B13" s="36">
        <f>C12</f>
        <v>36.799999999999997</v>
      </c>
      <c r="C13" s="36">
        <f>B13+C6</f>
        <v>43.5</v>
      </c>
      <c r="D13" s="36">
        <f t="shared" si="0"/>
        <v>40.15</v>
      </c>
      <c r="E13" s="36">
        <f t="shared" si="1"/>
        <v>120.44999999999999</v>
      </c>
      <c r="F13" s="36">
        <v>3</v>
      </c>
      <c r="G13" s="36">
        <f>(D13-11.69)*F13</f>
        <v>85.38</v>
      </c>
      <c r="H13" s="36"/>
      <c r="I13" s="36"/>
      <c r="J13" s="36">
        <f>I9</f>
        <v>23.4</v>
      </c>
      <c r="K13" s="36" t="s">
        <v>63</v>
      </c>
      <c r="L13" s="36">
        <f>L12*Q9</f>
        <v>0.74444444444444435</v>
      </c>
      <c r="M13" s="36" t="s">
        <v>14</v>
      </c>
      <c r="N13" s="36">
        <f>L13+J13</f>
        <v>24.144444444444442</v>
      </c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4.45" x14ac:dyDescent="0.3">
      <c r="A14" s="36">
        <v>6</v>
      </c>
      <c r="B14" s="36">
        <f>C13</f>
        <v>43.5</v>
      </c>
      <c r="C14" s="36">
        <f>B14+C6</f>
        <v>50.2</v>
      </c>
      <c r="D14" s="36">
        <f t="shared" si="0"/>
        <v>46.85</v>
      </c>
      <c r="E14" s="36">
        <f t="shared" si="1"/>
        <v>140.55000000000001</v>
      </c>
      <c r="F14" s="36">
        <v>3</v>
      </c>
      <c r="G14" s="36">
        <f>(D14-11.69)*F14</f>
        <v>105.48000000000002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4.45" x14ac:dyDescent="0.3">
      <c r="A15" s="36"/>
      <c r="B15" s="36"/>
      <c r="C15" s="36"/>
      <c r="D15" s="36"/>
      <c r="E15" s="36">
        <f>SUM(E9:E14)</f>
        <v>909.2</v>
      </c>
      <c r="F15" s="36"/>
      <c r="G15" s="36">
        <f>SUM(G9:G14)</f>
        <v>-16.359999999999957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4.45" x14ac:dyDescent="0.3">
      <c r="A16" s="36"/>
      <c r="B16" s="36" t="s">
        <v>51</v>
      </c>
      <c r="C16" s="36">
        <f>E15/B3</f>
        <v>22.73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4.45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4.45" x14ac:dyDescent="0.3">
      <c r="A18" s="36"/>
      <c r="B18" s="36" t="s">
        <v>36</v>
      </c>
      <c r="C18" s="36">
        <f>B3/2</f>
        <v>20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4.45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4.45" x14ac:dyDescent="0.3">
      <c r="A20" s="36"/>
      <c r="B20" s="36"/>
      <c r="C20" s="36">
        <f>B10-0.5</f>
        <v>16.2</v>
      </c>
      <c r="D20" s="36" t="s">
        <v>63</v>
      </c>
      <c r="E20" s="37">
        <f>C18</f>
        <v>20</v>
      </c>
      <c r="F20" s="37" t="s">
        <v>21</v>
      </c>
      <c r="G20" s="37">
        <f>F9</f>
        <v>16</v>
      </c>
      <c r="H20" s="36">
        <f>(C10+0.5)-(B10-0.5)</f>
        <v>7.6999999999999993</v>
      </c>
      <c r="I20" s="36"/>
      <c r="J20" s="36">
        <f>23.4+0.5</f>
        <v>23.9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4.45" x14ac:dyDescent="0.3">
      <c r="A21" s="36"/>
      <c r="B21" s="36"/>
      <c r="C21" s="36"/>
      <c r="D21" s="36"/>
      <c r="E21" s="36"/>
      <c r="F21" s="36">
        <f>F10</f>
        <v>8</v>
      </c>
      <c r="G21" s="36"/>
      <c r="H21" s="36"/>
      <c r="I21" s="36"/>
      <c r="J21" s="36">
        <f>14.2-0.5</f>
        <v>13.7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4.45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>
        <f>J20-J21</f>
        <v>10.199999999999999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4.45" x14ac:dyDescent="0.3">
      <c r="A23" s="36"/>
      <c r="B23" s="36"/>
      <c r="C23" s="36"/>
      <c r="D23" s="36"/>
      <c r="E23" s="36">
        <f>(E20-G20)/F21</f>
        <v>0.5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4.45" x14ac:dyDescent="0.3">
      <c r="A24" s="36"/>
      <c r="B24" s="36"/>
      <c r="C24" s="36">
        <f>C20</f>
        <v>16.2</v>
      </c>
      <c r="D24" s="36" t="s">
        <v>63</v>
      </c>
      <c r="E24" s="36">
        <f>E23*H20</f>
        <v>3.8499999999999996</v>
      </c>
      <c r="F24" s="36" t="s">
        <v>14</v>
      </c>
      <c r="G24" s="36">
        <f>C24+E24</f>
        <v>20.049999999999997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x14ac:dyDescent="0.2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x14ac:dyDescent="0.2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x14ac:dyDescent="0.2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x14ac:dyDescent="0.2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5"/>
  <sheetViews>
    <sheetView topLeftCell="C1" workbookViewId="0">
      <selection activeCell="C1" sqref="C1"/>
    </sheetView>
  </sheetViews>
  <sheetFormatPr baseColWidth="10" defaultRowHeight="15" x14ac:dyDescent="0.25"/>
  <sheetData>
    <row r="1" spans="1:19" ht="14.45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4.45" x14ac:dyDescent="0.3">
      <c r="A2" s="14">
        <v>1</v>
      </c>
      <c r="B2" s="80">
        <v>96.7</v>
      </c>
      <c r="C2" s="80">
        <v>1</v>
      </c>
      <c r="D2" s="14" t="s">
        <v>182</v>
      </c>
      <c r="E2" s="14">
        <f>B2</f>
        <v>96.7</v>
      </c>
      <c r="F2" s="14" t="s">
        <v>21</v>
      </c>
      <c r="G2" s="14">
        <f>B41</f>
        <v>105.2</v>
      </c>
      <c r="H2" s="14" t="s">
        <v>14</v>
      </c>
      <c r="I2" s="14">
        <f>G2-E2</f>
        <v>8.5</v>
      </c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4.45" x14ac:dyDescent="0.3">
      <c r="A3" s="14">
        <f>A2+1</f>
        <v>2</v>
      </c>
      <c r="B3" s="80">
        <v>97.3</v>
      </c>
      <c r="C3" s="80">
        <f>C2+1</f>
        <v>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14.45" x14ac:dyDescent="0.3">
      <c r="A4" s="14">
        <f t="shared" ref="A4:A41" si="0">A3+1</f>
        <v>3</v>
      </c>
      <c r="B4" s="80">
        <v>97.4</v>
      </c>
      <c r="C4" s="80">
        <f t="shared" ref="C4:C8" si="1">C3+1</f>
        <v>3</v>
      </c>
      <c r="D4" s="14" t="s">
        <v>111</v>
      </c>
      <c r="E4" s="14">
        <f>A41</f>
        <v>40</v>
      </c>
      <c r="F4" s="14" t="s">
        <v>183</v>
      </c>
      <c r="G4" s="14">
        <f>SQRT(E4)</f>
        <v>6.324555320336759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4.45" x14ac:dyDescent="0.3">
      <c r="A5" s="14">
        <f t="shared" si="0"/>
        <v>4</v>
      </c>
      <c r="B5" s="80">
        <v>97.8</v>
      </c>
      <c r="C5" s="80">
        <f t="shared" si="1"/>
        <v>4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14.45" x14ac:dyDescent="0.3">
      <c r="A6" s="14">
        <f t="shared" si="0"/>
        <v>5</v>
      </c>
      <c r="B6" s="80">
        <v>97.8</v>
      </c>
      <c r="C6" s="80">
        <f t="shared" si="1"/>
        <v>5</v>
      </c>
      <c r="D6" s="14" t="s">
        <v>170</v>
      </c>
      <c r="E6" s="15">
        <f>I2</f>
        <v>8.5</v>
      </c>
      <c r="F6" s="14" t="s">
        <v>14</v>
      </c>
      <c r="G6" s="14">
        <f>E6/E7</f>
        <v>1.343968005571561</v>
      </c>
      <c r="H6" s="19">
        <v>1.5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4.45" x14ac:dyDescent="0.3">
      <c r="A7" s="14">
        <f t="shared" si="0"/>
        <v>6</v>
      </c>
      <c r="B7" s="80">
        <v>97.9</v>
      </c>
      <c r="C7" s="80">
        <f t="shared" si="1"/>
        <v>6</v>
      </c>
      <c r="D7" s="14"/>
      <c r="E7" s="14">
        <f>G4</f>
        <v>6.324555320336759</v>
      </c>
      <c r="F7" s="14"/>
      <c r="G7" s="14"/>
      <c r="H7" s="14"/>
      <c r="I7" s="14"/>
      <c r="J7" s="14"/>
      <c r="K7" s="14">
        <v>100.2</v>
      </c>
      <c r="L7" s="14">
        <f>E11-0.5</f>
        <v>97.7</v>
      </c>
      <c r="M7" s="14">
        <f>K7-L7</f>
        <v>2.5</v>
      </c>
      <c r="N7" s="14"/>
      <c r="O7" s="14"/>
      <c r="P7" s="14"/>
      <c r="Q7" s="14"/>
      <c r="R7" s="14"/>
      <c r="S7" s="14"/>
    </row>
    <row r="8" spans="1:19" ht="14.45" x14ac:dyDescent="0.3">
      <c r="A8" s="14">
        <f t="shared" si="0"/>
        <v>7</v>
      </c>
      <c r="B8" s="80">
        <v>97.9</v>
      </c>
      <c r="C8" s="80">
        <f t="shared" si="1"/>
        <v>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4.45" x14ac:dyDescent="0.3">
      <c r="A9" s="14">
        <f t="shared" si="0"/>
        <v>8</v>
      </c>
      <c r="B9" s="19">
        <v>98.5</v>
      </c>
      <c r="C9" s="19">
        <v>1</v>
      </c>
      <c r="D9" s="14" t="s">
        <v>111</v>
      </c>
      <c r="E9" s="14" t="s">
        <v>12</v>
      </c>
      <c r="F9" s="14" t="s">
        <v>13</v>
      </c>
      <c r="G9" s="14" t="s">
        <v>15</v>
      </c>
      <c r="H9" s="14" t="s">
        <v>16</v>
      </c>
      <c r="I9" s="14" t="s">
        <v>17</v>
      </c>
      <c r="J9" s="14" t="s">
        <v>19</v>
      </c>
      <c r="K9" s="14" t="s">
        <v>126</v>
      </c>
      <c r="L9" s="14"/>
      <c r="M9" s="14"/>
      <c r="N9" s="14"/>
      <c r="O9" s="14"/>
      <c r="P9" s="14"/>
      <c r="Q9" s="14"/>
      <c r="R9" s="14"/>
      <c r="S9" s="14"/>
    </row>
    <row r="10" spans="1:19" ht="14.45" x14ac:dyDescent="0.3">
      <c r="A10" s="14">
        <f t="shared" si="0"/>
        <v>9</v>
      </c>
      <c r="B10" s="19">
        <v>98.5</v>
      </c>
      <c r="C10" s="19">
        <f>C9+1</f>
        <v>2</v>
      </c>
      <c r="D10" s="14">
        <v>1</v>
      </c>
      <c r="E10" s="14">
        <f>B2</f>
        <v>96.7</v>
      </c>
      <c r="F10" s="14">
        <f>E10+H6</f>
        <v>98.2</v>
      </c>
      <c r="G10" s="14">
        <v>7</v>
      </c>
      <c r="H10" s="14">
        <f t="shared" ref="H10:H15" si="2">G10/40</f>
        <v>0.17499999999999999</v>
      </c>
      <c r="I10" s="14">
        <f>G10</f>
        <v>7</v>
      </c>
      <c r="J10" s="14">
        <f>(E10+F10)/2</f>
        <v>97.45</v>
      </c>
      <c r="K10" s="14">
        <f>J10*G10</f>
        <v>682.15</v>
      </c>
      <c r="L10" s="14"/>
      <c r="M10" s="14"/>
      <c r="N10" s="14"/>
      <c r="O10" s="14"/>
      <c r="P10" s="14"/>
      <c r="Q10" s="14"/>
      <c r="R10" s="14"/>
      <c r="S10" s="14"/>
    </row>
    <row r="11" spans="1:19" ht="14.45" x14ac:dyDescent="0.3">
      <c r="A11" s="14">
        <f t="shared" si="0"/>
        <v>10</v>
      </c>
      <c r="B11" s="19">
        <v>98.5</v>
      </c>
      <c r="C11" s="19">
        <f t="shared" ref="C11:C27" si="3">C10+1</f>
        <v>3</v>
      </c>
      <c r="D11" s="19">
        <v>2</v>
      </c>
      <c r="E11" s="19">
        <f>F10</f>
        <v>98.2</v>
      </c>
      <c r="F11" s="19">
        <f>E11+H6</f>
        <v>99.7</v>
      </c>
      <c r="G11" s="19">
        <v>19</v>
      </c>
      <c r="H11" s="19">
        <f t="shared" si="2"/>
        <v>0.47499999999999998</v>
      </c>
      <c r="I11" s="19">
        <f>I10+G11</f>
        <v>26</v>
      </c>
      <c r="J11" s="19">
        <f t="shared" ref="J11:J15" si="4">(E11+F11)/2</f>
        <v>98.95</v>
      </c>
      <c r="K11" s="19">
        <f t="shared" ref="K11:K15" si="5">J11*G11</f>
        <v>1880.05</v>
      </c>
      <c r="L11" s="19"/>
      <c r="M11" s="14"/>
      <c r="N11" s="14"/>
      <c r="O11" s="14"/>
      <c r="P11" s="14"/>
      <c r="Q11" s="14"/>
      <c r="R11" s="14"/>
      <c r="S11" s="14"/>
    </row>
    <row r="12" spans="1:19" ht="14.45" x14ac:dyDescent="0.3">
      <c r="A12" s="14">
        <f t="shared" si="0"/>
        <v>11</v>
      </c>
      <c r="B12" s="19">
        <v>98.6</v>
      </c>
      <c r="C12" s="19">
        <f t="shared" si="3"/>
        <v>4</v>
      </c>
      <c r="D12" s="14">
        <v>3</v>
      </c>
      <c r="E12" s="14">
        <f>F11</f>
        <v>99.7</v>
      </c>
      <c r="F12" s="14">
        <f>E12+H6</f>
        <v>101.2</v>
      </c>
      <c r="G12" s="14">
        <v>2</v>
      </c>
      <c r="H12" s="14">
        <f t="shared" si="2"/>
        <v>0.05</v>
      </c>
      <c r="I12" s="14">
        <f>I11+G12</f>
        <v>28</v>
      </c>
      <c r="J12" s="14">
        <f t="shared" si="4"/>
        <v>100.45</v>
      </c>
      <c r="K12" s="14">
        <f t="shared" si="5"/>
        <v>200.9</v>
      </c>
      <c r="L12" s="14"/>
      <c r="M12" s="14"/>
      <c r="N12" s="14"/>
      <c r="O12" s="14"/>
      <c r="P12" s="14"/>
      <c r="Q12" s="14"/>
      <c r="R12" s="14"/>
      <c r="S12" s="14"/>
    </row>
    <row r="13" spans="1:19" ht="14.45" x14ac:dyDescent="0.3">
      <c r="A13" s="14">
        <f t="shared" si="0"/>
        <v>12</v>
      </c>
      <c r="B13" s="19">
        <v>98.6</v>
      </c>
      <c r="C13" s="19">
        <f t="shared" si="3"/>
        <v>5</v>
      </c>
      <c r="D13" s="14">
        <v>4</v>
      </c>
      <c r="E13" s="14">
        <f>F12</f>
        <v>101.2</v>
      </c>
      <c r="F13" s="14">
        <f>E13+H6</f>
        <v>102.7</v>
      </c>
      <c r="G13" s="14">
        <v>5</v>
      </c>
      <c r="H13" s="14">
        <f t="shared" si="2"/>
        <v>0.125</v>
      </c>
      <c r="I13" s="14">
        <f>I12+G13</f>
        <v>33</v>
      </c>
      <c r="J13" s="14">
        <f t="shared" si="4"/>
        <v>101.95</v>
      </c>
      <c r="K13" s="14">
        <f t="shared" si="5"/>
        <v>509.75</v>
      </c>
      <c r="L13" s="14"/>
      <c r="M13" s="14"/>
      <c r="N13" s="14"/>
      <c r="O13" s="14"/>
      <c r="P13" s="14"/>
      <c r="Q13" s="14"/>
      <c r="R13" s="14"/>
      <c r="S13" s="14"/>
    </row>
    <row r="14" spans="1:19" ht="14.45" x14ac:dyDescent="0.3">
      <c r="A14" s="14">
        <f t="shared" si="0"/>
        <v>13</v>
      </c>
      <c r="B14" s="19">
        <v>98.6</v>
      </c>
      <c r="C14" s="19">
        <f t="shared" si="3"/>
        <v>6</v>
      </c>
      <c r="D14" s="14">
        <v>5</v>
      </c>
      <c r="E14" s="14">
        <f>F13</f>
        <v>102.7</v>
      </c>
      <c r="F14" s="14">
        <f>E14+H6</f>
        <v>104.2</v>
      </c>
      <c r="G14" s="14">
        <v>5</v>
      </c>
      <c r="H14" s="14">
        <f t="shared" si="2"/>
        <v>0.125</v>
      </c>
      <c r="I14" s="14">
        <f>I13+G14</f>
        <v>38</v>
      </c>
      <c r="J14" s="14">
        <f t="shared" si="4"/>
        <v>103.45</v>
      </c>
      <c r="K14" s="14">
        <f t="shared" si="5"/>
        <v>517.25</v>
      </c>
      <c r="L14" s="14"/>
      <c r="M14" s="14"/>
      <c r="N14" s="14"/>
      <c r="O14" s="14"/>
      <c r="P14" s="14"/>
      <c r="Q14" s="14"/>
      <c r="R14" s="14"/>
      <c r="S14" s="14"/>
    </row>
    <row r="15" spans="1:19" ht="14.45" x14ac:dyDescent="0.3">
      <c r="A15" s="14">
        <f t="shared" si="0"/>
        <v>14</v>
      </c>
      <c r="B15" s="19">
        <v>98.6</v>
      </c>
      <c r="C15" s="19">
        <f t="shared" si="3"/>
        <v>7</v>
      </c>
      <c r="D15" s="14">
        <v>6</v>
      </c>
      <c r="E15" s="14">
        <f>F14</f>
        <v>104.2</v>
      </c>
      <c r="F15" s="14">
        <f>E15+H6</f>
        <v>105.7</v>
      </c>
      <c r="G15" s="15">
        <v>2</v>
      </c>
      <c r="H15" s="14">
        <f t="shared" si="2"/>
        <v>0.05</v>
      </c>
      <c r="I15" s="14">
        <f>I14+G15</f>
        <v>40</v>
      </c>
      <c r="J15" s="14">
        <f t="shared" si="4"/>
        <v>104.95</v>
      </c>
      <c r="K15" s="15">
        <f t="shared" si="5"/>
        <v>209.9</v>
      </c>
      <c r="L15" s="14"/>
      <c r="M15" s="14"/>
      <c r="N15" s="14"/>
      <c r="O15" s="14"/>
      <c r="P15" s="14"/>
      <c r="Q15" s="14"/>
      <c r="R15" s="14"/>
      <c r="S15" s="14"/>
    </row>
    <row r="16" spans="1:19" ht="14.45" x14ac:dyDescent="0.3">
      <c r="A16" s="14">
        <f t="shared" si="0"/>
        <v>15</v>
      </c>
      <c r="B16" s="19">
        <v>98.6</v>
      </c>
      <c r="C16" s="19">
        <f t="shared" si="3"/>
        <v>8</v>
      </c>
      <c r="D16" s="14"/>
      <c r="E16" s="14"/>
      <c r="F16" s="14"/>
      <c r="G16" s="14">
        <f>SUM(G10:G15)</f>
        <v>40</v>
      </c>
      <c r="H16" s="14">
        <f>SUM(H10:H15)</f>
        <v>1</v>
      </c>
      <c r="I16" s="14"/>
      <c r="J16" s="14"/>
      <c r="K16" s="14">
        <f>SUM(K10:K15)</f>
        <v>4000</v>
      </c>
      <c r="L16" s="14"/>
      <c r="M16" s="14"/>
      <c r="N16" s="14"/>
      <c r="O16" s="14"/>
      <c r="P16" s="14"/>
      <c r="Q16" s="14"/>
      <c r="R16" s="14"/>
      <c r="S16" s="14"/>
    </row>
    <row r="17" spans="1:19" ht="14.45" x14ac:dyDescent="0.3">
      <c r="A17" s="14">
        <f t="shared" si="0"/>
        <v>16</v>
      </c>
      <c r="B17" s="19">
        <v>98.6</v>
      </c>
      <c r="C17" s="19">
        <f t="shared" si="3"/>
        <v>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4.45" x14ac:dyDescent="0.3">
      <c r="A18" s="14">
        <f t="shared" si="0"/>
        <v>17</v>
      </c>
      <c r="B18" s="19">
        <v>98.6</v>
      </c>
      <c r="C18" s="19">
        <f t="shared" si="3"/>
        <v>10</v>
      </c>
      <c r="D18" s="14"/>
      <c r="E18" s="14"/>
      <c r="F18" s="14" t="s">
        <v>33</v>
      </c>
      <c r="G18" s="15">
        <f>K16</f>
        <v>4000</v>
      </c>
      <c r="H18" s="14">
        <f>G18/G19</f>
        <v>100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4.45" x14ac:dyDescent="0.3">
      <c r="A19" s="14">
        <f t="shared" si="0"/>
        <v>18</v>
      </c>
      <c r="B19" s="19">
        <v>98.6</v>
      </c>
      <c r="C19" s="19">
        <f t="shared" si="3"/>
        <v>11</v>
      </c>
      <c r="D19" s="14"/>
      <c r="E19" s="14"/>
      <c r="F19" s="14"/>
      <c r="G19" s="14">
        <f>G16</f>
        <v>40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14.45" x14ac:dyDescent="0.3">
      <c r="A20" s="14">
        <f t="shared" si="0"/>
        <v>19</v>
      </c>
      <c r="B20" s="19">
        <v>98.6</v>
      </c>
      <c r="C20" s="19">
        <f t="shared" si="3"/>
        <v>12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14.45" x14ac:dyDescent="0.3">
      <c r="A21" s="14">
        <f t="shared" si="0"/>
        <v>20</v>
      </c>
      <c r="B21" s="19">
        <v>98.7</v>
      </c>
      <c r="C21" s="19">
        <f t="shared" si="3"/>
        <v>13</v>
      </c>
      <c r="D21" s="14"/>
      <c r="E21" s="14" t="s">
        <v>36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4.45" x14ac:dyDescent="0.3">
      <c r="A22" s="14">
        <f t="shared" si="0"/>
        <v>21</v>
      </c>
      <c r="B22" s="19">
        <v>98.7</v>
      </c>
      <c r="C22" s="19">
        <f t="shared" si="3"/>
        <v>14</v>
      </c>
      <c r="D22" s="14"/>
      <c r="E22" s="14"/>
      <c r="F22" s="14" t="s">
        <v>104</v>
      </c>
      <c r="G22" s="15">
        <f>G16</f>
        <v>40</v>
      </c>
      <c r="H22" s="14" t="s">
        <v>14</v>
      </c>
      <c r="I22" s="14">
        <f>G22/G23</f>
        <v>20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4.45" x14ac:dyDescent="0.3">
      <c r="A23" s="14">
        <f t="shared" si="0"/>
        <v>22</v>
      </c>
      <c r="B23" s="19">
        <v>98.8</v>
      </c>
      <c r="C23" s="19">
        <f t="shared" si="3"/>
        <v>15</v>
      </c>
      <c r="D23" s="14"/>
      <c r="E23" s="14"/>
      <c r="F23" s="14">
        <v>2</v>
      </c>
      <c r="G23" s="14">
        <v>2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14.45" x14ac:dyDescent="0.3">
      <c r="A24" s="14">
        <f t="shared" si="0"/>
        <v>23</v>
      </c>
      <c r="B24" s="19">
        <v>98.9</v>
      </c>
      <c r="C24" s="19">
        <f t="shared" si="3"/>
        <v>16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25">
      <c r="A25" s="14">
        <f t="shared" si="0"/>
        <v>24</v>
      </c>
      <c r="B25" s="19">
        <v>99</v>
      </c>
      <c r="C25" s="19">
        <f t="shared" si="3"/>
        <v>17</v>
      </c>
      <c r="D25" s="14"/>
      <c r="F25" s="48"/>
      <c r="G25" s="48"/>
      <c r="J25" t="s">
        <v>26</v>
      </c>
    </row>
    <row r="26" spans="1:19" x14ac:dyDescent="0.25">
      <c r="A26" s="14">
        <f t="shared" si="0"/>
        <v>25</v>
      </c>
      <c r="B26" s="19">
        <v>99.3</v>
      </c>
      <c r="C26" s="19">
        <f t="shared" si="3"/>
        <v>18</v>
      </c>
      <c r="D26" s="14"/>
      <c r="F26" s="48"/>
      <c r="G26" s="48"/>
      <c r="J26" s="11" t="s">
        <v>155</v>
      </c>
    </row>
    <row r="27" spans="1:19" x14ac:dyDescent="0.25">
      <c r="A27" s="14">
        <f t="shared" si="0"/>
        <v>26</v>
      </c>
      <c r="B27" s="19">
        <v>99.7</v>
      </c>
      <c r="C27" s="19">
        <f t="shared" si="3"/>
        <v>19</v>
      </c>
      <c r="D27" s="14"/>
      <c r="F27" s="48"/>
      <c r="G27" s="48"/>
    </row>
    <row r="28" spans="1:19" x14ac:dyDescent="0.25">
      <c r="A28" s="14">
        <f t="shared" si="0"/>
        <v>27</v>
      </c>
      <c r="B28" s="31">
        <v>99.9</v>
      </c>
      <c r="C28" s="31">
        <v>1</v>
      </c>
      <c r="D28" s="14"/>
      <c r="F28" s="48"/>
      <c r="G28" s="48"/>
      <c r="I28" t="s">
        <v>156</v>
      </c>
      <c r="K28" t="s">
        <v>63</v>
      </c>
      <c r="L28" t="s">
        <v>157</v>
      </c>
      <c r="M28" t="s">
        <v>21</v>
      </c>
      <c r="N28" t="s">
        <v>158</v>
      </c>
    </row>
    <row r="29" spans="1:19" x14ac:dyDescent="0.25">
      <c r="A29" s="14">
        <f t="shared" si="0"/>
        <v>28</v>
      </c>
      <c r="B29" s="31">
        <v>100.3</v>
      </c>
      <c r="C29" s="31">
        <f>C28+1</f>
        <v>2</v>
      </c>
      <c r="D29" s="14"/>
      <c r="F29" s="48"/>
      <c r="G29" s="48"/>
      <c r="J29">
        <v>1</v>
      </c>
      <c r="L29" s="1"/>
      <c r="M29" s="1"/>
      <c r="N29" s="1"/>
      <c r="O29" s="1"/>
      <c r="P29" s="1">
        <v>1</v>
      </c>
      <c r="Q29" t="s">
        <v>160</v>
      </c>
    </row>
    <row r="30" spans="1:19" x14ac:dyDescent="0.25">
      <c r="A30" s="14">
        <f t="shared" si="0"/>
        <v>29</v>
      </c>
      <c r="B30" s="81">
        <v>101.7</v>
      </c>
      <c r="C30" s="81">
        <v>1</v>
      </c>
      <c r="D30" s="14"/>
      <c r="F30" s="48"/>
      <c r="G30" s="48"/>
      <c r="N30" t="s">
        <v>159</v>
      </c>
    </row>
    <row r="31" spans="1:19" x14ac:dyDescent="0.25">
      <c r="A31" s="14">
        <f t="shared" si="0"/>
        <v>30</v>
      </c>
      <c r="B31" s="81">
        <v>102.1</v>
      </c>
      <c r="C31" s="81">
        <f>C30+1</f>
        <v>2</v>
      </c>
      <c r="D31" s="14"/>
      <c r="F31" s="48"/>
    </row>
    <row r="32" spans="1:19" x14ac:dyDescent="0.25">
      <c r="A32" s="14">
        <f t="shared" si="0"/>
        <v>31</v>
      </c>
      <c r="B32" s="81">
        <v>102.4</v>
      </c>
      <c r="C32" s="81">
        <f t="shared" ref="C32:C34" si="6">C31+1</f>
        <v>3</v>
      </c>
      <c r="D32" s="14"/>
      <c r="F32" s="48" t="s">
        <v>103</v>
      </c>
      <c r="G32" t="s">
        <v>161</v>
      </c>
    </row>
    <row r="33" spans="1:16" x14ac:dyDescent="0.25">
      <c r="A33" s="14">
        <f t="shared" si="0"/>
        <v>32</v>
      </c>
      <c r="B33" s="81">
        <v>102.4</v>
      </c>
      <c r="C33" s="81">
        <f t="shared" si="6"/>
        <v>4</v>
      </c>
      <c r="D33" s="14"/>
      <c r="F33" s="48" t="s">
        <v>104</v>
      </c>
      <c r="G33" t="s">
        <v>162</v>
      </c>
    </row>
    <row r="34" spans="1:16" x14ac:dyDescent="0.25">
      <c r="A34" s="14">
        <f t="shared" si="0"/>
        <v>33</v>
      </c>
      <c r="B34" s="81">
        <v>102.7</v>
      </c>
      <c r="C34" s="81">
        <f t="shared" si="6"/>
        <v>5</v>
      </c>
      <c r="D34" s="14"/>
      <c r="F34" t="s">
        <v>163</v>
      </c>
      <c r="G34" t="s">
        <v>164</v>
      </c>
    </row>
    <row r="35" spans="1:16" x14ac:dyDescent="0.25">
      <c r="A35" s="14">
        <f t="shared" si="0"/>
        <v>34</v>
      </c>
      <c r="B35" s="82">
        <v>103.2</v>
      </c>
      <c r="C35" s="82">
        <v>1</v>
      </c>
      <c r="D35" s="14"/>
      <c r="F35" t="s">
        <v>159</v>
      </c>
      <c r="G35" t="s">
        <v>165</v>
      </c>
    </row>
    <row r="36" spans="1:16" x14ac:dyDescent="0.25">
      <c r="A36" s="14">
        <f t="shared" si="0"/>
        <v>35</v>
      </c>
      <c r="B36" s="82">
        <v>103.6</v>
      </c>
      <c r="C36" s="82">
        <f>C35+1</f>
        <v>2</v>
      </c>
      <c r="D36" s="14"/>
      <c r="F36" t="s">
        <v>107</v>
      </c>
      <c r="G36" t="s">
        <v>166</v>
      </c>
    </row>
    <row r="37" spans="1:16" x14ac:dyDescent="0.25">
      <c r="A37" s="14">
        <f t="shared" si="0"/>
        <v>36</v>
      </c>
      <c r="B37" s="82">
        <v>103.6</v>
      </c>
      <c r="C37" s="82">
        <f t="shared" ref="C37:C39" si="7">C36+1</f>
        <v>3</v>
      </c>
      <c r="D37" s="14"/>
    </row>
    <row r="38" spans="1:16" x14ac:dyDescent="0.25">
      <c r="A38" s="14">
        <f t="shared" si="0"/>
        <v>37</v>
      </c>
      <c r="B38" s="82">
        <v>103.8</v>
      </c>
      <c r="C38" s="82">
        <f t="shared" si="7"/>
        <v>4</v>
      </c>
      <c r="D38" s="14"/>
      <c r="G38" t="s">
        <v>104</v>
      </c>
      <c r="H38" s="1">
        <v>40</v>
      </c>
      <c r="I38">
        <f>H38/H39</f>
        <v>20</v>
      </c>
    </row>
    <row r="39" spans="1:16" x14ac:dyDescent="0.25">
      <c r="A39" s="14">
        <f t="shared" si="0"/>
        <v>38</v>
      </c>
      <c r="B39" s="82">
        <v>104.1</v>
      </c>
      <c r="C39" s="82">
        <f t="shared" si="7"/>
        <v>5</v>
      </c>
      <c r="D39" s="14"/>
      <c r="G39">
        <v>2</v>
      </c>
      <c r="H39">
        <v>2</v>
      </c>
    </row>
    <row r="40" spans="1:16" x14ac:dyDescent="0.25">
      <c r="A40" s="14">
        <f t="shared" si="0"/>
        <v>39</v>
      </c>
      <c r="B40" s="14">
        <v>104.8</v>
      </c>
      <c r="C40" s="14"/>
      <c r="D40" s="14"/>
      <c r="P40" s="14">
        <f>(2.5-0.5)-(3.25+0.5)</f>
        <v>-1.75</v>
      </c>
    </row>
    <row r="41" spans="1:16" x14ac:dyDescent="0.25">
      <c r="A41" s="14">
        <f t="shared" si="0"/>
        <v>40</v>
      </c>
      <c r="B41" s="14">
        <v>105.2</v>
      </c>
      <c r="C41" s="14"/>
      <c r="D41" s="14"/>
      <c r="E41" s="14">
        <f>98.2-0.5</f>
        <v>97.7</v>
      </c>
      <c r="F41" s="14">
        <f>E11-0.5</f>
        <v>97.7</v>
      </c>
      <c r="G41" t="s">
        <v>63</v>
      </c>
      <c r="H41" s="1">
        <f>I38</f>
        <v>20</v>
      </c>
      <c r="I41" s="1" t="s">
        <v>21</v>
      </c>
      <c r="J41" s="15">
        <f>G10</f>
        <v>7</v>
      </c>
      <c r="K41" s="14">
        <f>(F11+0.5)-(E11-0.5)</f>
        <v>2.5</v>
      </c>
    </row>
    <row r="42" spans="1:16" x14ac:dyDescent="0.25">
      <c r="A42" s="14"/>
      <c r="B42" s="14"/>
      <c r="C42" s="14"/>
      <c r="D42" s="14"/>
      <c r="I42" s="14">
        <f>G11</f>
        <v>19</v>
      </c>
    </row>
    <row r="43" spans="1:16" x14ac:dyDescent="0.25">
      <c r="A43" s="14"/>
      <c r="B43" s="14"/>
      <c r="C43" s="14"/>
      <c r="D43" s="14"/>
    </row>
    <row r="44" spans="1:16" x14ac:dyDescent="0.25">
      <c r="A44" s="14"/>
      <c r="B44" s="14"/>
      <c r="C44" s="14"/>
      <c r="D44" s="14"/>
      <c r="H44">
        <f>(H41-J41)/I42</f>
        <v>0.68421052631578949</v>
      </c>
      <c r="I44">
        <f>K41</f>
        <v>2.5</v>
      </c>
    </row>
    <row r="45" spans="1:16" x14ac:dyDescent="0.25">
      <c r="A45" s="14"/>
      <c r="B45" s="14"/>
      <c r="C45" s="14"/>
      <c r="D45" s="14"/>
      <c r="F45">
        <f>F41</f>
        <v>97.7</v>
      </c>
      <c r="G45" t="s">
        <v>63</v>
      </c>
      <c r="H45">
        <f>H44*I44</f>
        <v>1.7105263157894737</v>
      </c>
      <c r="I45" t="s">
        <v>14</v>
      </c>
      <c r="J45" s="84">
        <f>F45+H45</f>
        <v>99.410526315789483</v>
      </c>
    </row>
    <row r="46" spans="1:16" x14ac:dyDescent="0.25">
      <c r="A46" s="14"/>
      <c r="B46" s="14"/>
      <c r="C46" s="14"/>
      <c r="D46" s="14"/>
    </row>
    <row r="47" spans="1:16" x14ac:dyDescent="0.25">
      <c r="A47" s="14"/>
      <c r="B47" s="14"/>
      <c r="C47" s="14"/>
      <c r="D47" s="14"/>
      <c r="F47" s="76" t="s">
        <v>43</v>
      </c>
      <c r="H47" t="s">
        <v>50</v>
      </c>
    </row>
    <row r="48" spans="1:16" x14ac:dyDescent="0.25">
      <c r="A48" s="14"/>
      <c r="B48" s="14"/>
      <c r="C48" s="14"/>
      <c r="D48" s="14"/>
    </row>
    <row r="49" spans="1:13" x14ac:dyDescent="0.25">
      <c r="A49" s="14"/>
      <c r="B49" s="14"/>
      <c r="C49" s="14"/>
      <c r="D49" s="14"/>
      <c r="F49" t="s">
        <v>167</v>
      </c>
      <c r="G49" s="1" t="s">
        <v>168</v>
      </c>
      <c r="H49" s="1"/>
      <c r="I49" s="1"/>
      <c r="J49" s="1"/>
      <c r="L49" t="s">
        <v>170</v>
      </c>
    </row>
    <row r="50" spans="1:13" x14ac:dyDescent="0.25">
      <c r="A50" s="14"/>
      <c r="B50" s="14"/>
      <c r="C50" s="14"/>
      <c r="D50" s="14"/>
      <c r="G50" t="s">
        <v>169</v>
      </c>
    </row>
    <row r="51" spans="1:13" x14ac:dyDescent="0.25">
      <c r="A51" s="14"/>
      <c r="B51" s="14"/>
      <c r="C51" s="14"/>
      <c r="D51" s="14"/>
    </row>
    <row r="52" spans="1:13" x14ac:dyDescent="0.25">
      <c r="A52" s="14"/>
      <c r="B52" s="14"/>
      <c r="C52" s="14"/>
      <c r="D52" s="14"/>
      <c r="F52" t="s">
        <v>171</v>
      </c>
      <c r="G52" t="s">
        <v>172</v>
      </c>
    </row>
    <row r="53" spans="1:13" x14ac:dyDescent="0.25">
      <c r="A53" s="14"/>
      <c r="B53" s="14"/>
      <c r="C53" s="14"/>
      <c r="D53" s="14"/>
      <c r="F53" t="s">
        <v>173</v>
      </c>
      <c r="G53" t="s">
        <v>174</v>
      </c>
    </row>
    <row r="54" spans="1:13" x14ac:dyDescent="0.25">
      <c r="A54" s="14"/>
      <c r="B54" s="14"/>
      <c r="C54" s="14"/>
      <c r="D54" s="14"/>
      <c r="F54" t="s">
        <v>175</v>
      </c>
      <c r="G54" t="s">
        <v>176</v>
      </c>
    </row>
    <row r="55" spans="1:13" x14ac:dyDescent="0.25">
      <c r="A55" s="14"/>
      <c r="B55" s="14"/>
      <c r="C55" s="14"/>
      <c r="D55" s="14"/>
      <c r="F55" t="s">
        <v>170</v>
      </c>
      <c r="G55" t="s">
        <v>177</v>
      </c>
    </row>
    <row r="56" spans="1:13" x14ac:dyDescent="0.25">
      <c r="A56" s="14"/>
      <c r="B56" s="14"/>
      <c r="C56" s="14"/>
      <c r="D56" s="14"/>
    </row>
    <row r="57" spans="1:13" x14ac:dyDescent="0.25">
      <c r="A57" s="14"/>
      <c r="B57" s="14"/>
      <c r="C57" s="14"/>
      <c r="D57" s="14"/>
    </row>
    <row r="58" spans="1:13" x14ac:dyDescent="0.25">
      <c r="A58" s="14"/>
      <c r="B58" s="14"/>
      <c r="C58" s="14"/>
      <c r="D58" s="14"/>
      <c r="F58" s="14">
        <f>E11</f>
        <v>98.2</v>
      </c>
      <c r="G58" t="s">
        <v>63</v>
      </c>
      <c r="H58" s="15">
        <f>G11</f>
        <v>19</v>
      </c>
      <c r="I58" s="1" t="s">
        <v>21</v>
      </c>
      <c r="J58" s="15">
        <f>G10</f>
        <v>7</v>
      </c>
      <c r="K58" s="1"/>
      <c r="L58" s="14"/>
      <c r="M58" s="14">
        <f>F11-E11</f>
        <v>1.5</v>
      </c>
    </row>
    <row r="59" spans="1:13" x14ac:dyDescent="0.25">
      <c r="A59" s="14"/>
      <c r="B59" s="14"/>
      <c r="C59" s="14"/>
      <c r="D59" s="14"/>
      <c r="H59">
        <f>2*H58</f>
        <v>38</v>
      </c>
      <c r="I59" t="s">
        <v>21</v>
      </c>
      <c r="J59">
        <f>J58</f>
        <v>7</v>
      </c>
      <c r="K59" t="s">
        <v>21</v>
      </c>
      <c r="L59" s="14">
        <f>G12</f>
        <v>2</v>
      </c>
    </row>
    <row r="60" spans="1:13" x14ac:dyDescent="0.25">
      <c r="A60" s="14"/>
      <c r="B60" s="14"/>
      <c r="C60" s="14"/>
      <c r="D60" s="14"/>
    </row>
    <row r="61" spans="1:13" x14ac:dyDescent="0.25">
      <c r="A61" s="14"/>
      <c r="B61" s="14"/>
      <c r="C61" s="14"/>
      <c r="D61" s="14"/>
      <c r="H61">
        <f>(H58-J58)/(H59-J59-L59)</f>
        <v>0.41379310344827586</v>
      </c>
      <c r="I61" s="14">
        <f>M58</f>
        <v>1.5</v>
      </c>
    </row>
    <row r="62" spans="1:13" x14ac:dyDescent="0.25">
      <c r="A62" s="14"/>
      <c r="B62" s="14"/>
      <c r="C62" s="14"/>
      <c r="D62" s="14"/>
      <c r="F62">
        <f>F58</f>
        <v>98.2</v>
      </c>
      <c r="G62" t="s">
        <v>63</v>
      </c>
      <c r="H62">
        <f>H61*I61</f>
        <v>0.62068965517241381</v>
      </c>
      <c r="I62" t="s">
        <v>14</v>
      </c>
      <c r="J62" s="75">
        <f>H62+F62</f>
        <v>98.820689655172416</v>
      </c>
    </row>
    <row r="63" spans="1:13" x14ac:dyDescent="0.25">
      <c r="A63" s="14"/>
      <c r="B63" s="14"/>
      <c r="C63" s="14"/>
      <c r="D63" s="14"/>
    </row>
    <row r="64" spans="1:13" x14ac:dyDescent="0.25">
      <c r="A64" s="14"/>
      <c r="B64" s="14"/>
      <c r="C64" s="14"/>
      <c r="D64" s="14"/>
    </row>
    <row r="65" spans="1:6" x14ac:dyDescent="0.25">
      <c r="A65" s="14"/>
      <c r="B65" s="14"/>
      <c r="C65" s="14"/>
      <c r="D65" s="14"/>
    </row>
    <row r="66" spans="1:6" x14ac:dyDescent="0.25">
      <c r="A66" s="14"/>
      <c r="B66" s="14"/>
      <c r="C66" s="14"/>
      <c r="D66" s="14"/>
      <c r="F66" t="s">
        <v>138</v>
      </c>
    </row>
    <row r="67" spans="1:6" x14ac:dyDescent="0.25">
      <c r="A67" s="14"/>
      <c r="B67" s="14"/>
      <c r="C67" s="14"/>
      <c r="D67" s="14"/>
    </row>
    <row r="68" spans="1:6" x14ac:dyDescent="0.25">
      <c r="A68" s="14"/>
      <c r="B68" s="14"/>
      <c r="C68" s="14"/>
      <c r="D68" s="14"/>
    </row>
    <row r="69" spans="1:6" x14ac:dyDescent="0.25">
      <c r="A69" s="14"/>
      <c r="B69" s="14"/>
      <c r="C69" s="14"/>
      <c r="D69" s="14"/>
    </row>
    <row r="70" spans="1:6" x14ac:dyDescent="0.25">
      <c r="A70" s="14"/>
      <c r="B70" s="14"/>
      <c r="C70" s="14"/>
      <c r="D70" s="14"/>
    </row>
    <row r="71" spans="1:6" x14ac:dyDescent="0.25">
      <c r="A71" s="14"/>
      <c r="B71" s="14"/>
      <c r="C71" s="14"/>
      <c r="D71" s="14"/>
    </row>
    <row r="72" spans="1:6" x14ac:dyDescent="0.25">
      <c r="A72" s="14"/>
      <c r="B72" s="14"/>
      <c r="C72" s="14"/>
      <c r="D72" s="14"/>
    </row>
    <row r="73" spans="1:6" x14ac:dyDescent="0.25">
      <c r="A73" s="14"/>
      <c r="B73" s="14"/>
      <c r="C73" s="14"/>
      <c r="D73" s="14"/>
    </row>
    <row r="74" spans="1:6" x14ac:dyDescent="0.25">
      <c r="A74" s="14"/>
      <c r="B74" s="14"/>
      <c r="C74" s="14"/>
      <c r="D74" s="14"/>
    </row>
    <row r="75" spans="1:6" x14ac:dyDescent="0.25">
      <c r="A75" s="14"/>
      <c r="B75" s="14"/>
      <c r="C75" s="14"/>
      <c r="D75" s="14"/>
    </row>
    <row r="76" spans="1:6" x14ac:dyDescent="0.25">
      <c r="A76" s="14"/>
      <c r="B76" s="14"/>
      <c r="C76" s="14"/>
      <c r="D76" s="14"/>
    </row>
    <row r="77" spans="1:6" x14ac:dyDescent="0.25">
      <c r="A77" s="14"/>
      <c r="B77" s="14"/>
      <c r="C77" s="14"/>
      <c r="D77" s="14"/>
    </row>
    <row r="78" spans="1:6" x14ac:dyDescent="0.25">
      <c r="A78" s="14"/>
      <c r="B78" s="14"/>
      <c r="C78" s="14"/>
      <c r="D78" s="14"/>
    </row>
    <row r="79" spans="1:6" x14ac:dyDescent="0.25">
      <c r="A79" s="14"/>
      <c r="B79" s="14"/>
      <c r="C79" s="14"/>
      <c r="D79" s="14"/>
    </row>
    <row r="80" spans="1:6" x14ac:dyDescent="0.25">
      <c r="A80" s="14"/>
      <c r="B80" s="14"/>
      <c r="C80" s="14"/>
      <c r="D80" s="14"/>
    </row>
    <row r="81" spans="1:19" x14ac:dyDescent="0.25">
      <c r="A81" s="14"/>
      <c r="B81" s="14"/>
      <c r="C81" s="14"/>
      <c r="D81" s="14"/>
    </row>
    <row r="82" spans="1:19" x14ac:dyDescent="0.25">
      <c r="A82" s="14"/>
      <c r="B82" s="14"/>
      <c r="C82" s="14"/>
      <c r="D82" s="14"/>
    </row>
    <row r="83" spans="1:19" x14ac:dyDescent="0.25">
      <c r="A83" s="14"/>
      <c r="B83" s="14"/>
      <c r="C83" s="14"/>
      <c r="D83" s="14"/>
    </row>
    <row r="84" spans="1:19" x14ac:dyDescent="0.25">
      <c r="A84" s="14"/>
      <c r="B84" s="14"/>
      <c r="C84" s="14"/>
      <c r="D84" s="14"/>
    </row>
    <row r="85" spans="1:19" x14ac:dyDescent="0.25">
      <c r="A85" s="14"/>
      <c r="B85" s="14"/>
      <c r="C85" s="14"/>
      <c r="D85" s="14"/>
    </row>
    <row r="86" spans="1:19" x14ac:dyDescent="0.25">
      <c r="A86" s="14"/>
      <c r="B86" s="14"/>
      <c r="C86" s="14"/>
      <c r="D86" s="14"/>
    </row>
    <row r="87" spans="1:19" x14ac:dyDescent="0.25">
      <c r="A87" s="14"/>
      <c r="B87" s="14"/>
      <c r="C87" s="14"/>
      <c r="D87" s="14"/>
    </row>
    <row r="88" spans="1:19" x14ac:dyDescent="0.25">
      <c r="A88" s="14"/>
      <c r="B88" s="14"/>
      <c r="C88" s="14"/>
      <c r="D88" s="14"/>
    </row>
    <row r="89" spans="1:19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:19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:19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:19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19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:19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:19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:19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:19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:19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:19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:19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:19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:19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:19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:19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:19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:19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:19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:19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:19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:19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:19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:19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:19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:19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:19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:19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:19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:19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:19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:19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:19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:19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:19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:19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:19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:19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:19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:19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:19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:19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:19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:19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:19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:19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:19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:19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:19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:19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:19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:19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:19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:19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1:19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spans="1:19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</row>
    <row r="148" spans="1:19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spans="1:19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spans="1:19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1:19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</row>
    <row r="153" spans="1:19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1:19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</row>
    <row r="155" spans="1:19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</row>
    <row r="156" spans="1:19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</row>
    <row r="157" spans="1:19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</row>
    <row r="158" spans="1:19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1:19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</row>
    <row r="160" spans="1:19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</row>
    <row r="161" spans="1:19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</row>
    <row r="162" spans="1:19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</row>
    <row r="163" spans="1:19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</row>
    <row r="164" spans="1:19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</row>
    <row r="165" spans="1:19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</row>
    <row r="166" spans="1:19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</row>
    <row r="167" spans="1:19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</row>
    <row r="168" spans="1:19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</row>
    <row r="169" spans="1:19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</row>
    <row r="170" spans="1:19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</row>
    <row r="171" spans="1:19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</row>
    <row r="172" spans="1:19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</row>
    <row r="173" spans="1:19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</row>
    <row r="174" spans="1:19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</row>
    <row r="175" spans="1:19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</row>
    <row r="176" spans="1:19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</row>
    <row r="177" spans="1:19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</row>
    <row r="178" spans="1:19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</row>
    <row r="179" spans="1:19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</row>
    <row r="180" spans="1:19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</row>
    <row r="181" spans="1:19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</row>
    <row r="182" spans="1:19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</row>
    <row r="183" spans="1:19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</row>
    <row r="184" spans="1:19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19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</row>
    <row r="186" spans="1:19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</row>
    <row r="188" spans="1:19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1:19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</row>
    <row r="190" spans="1:19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</row>
    <row r="191" spans="1:19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1:19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</row>
    <row r="193" spans="1:19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1:19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</row>
    <row r="195" spans="1:19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</row>
    <row r="196" spans="1:19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</row>
    <row r="197" spans="1:19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</row>
    <row r="198" spans="1:19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1:19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</row>
    <row r="200" spans="1:19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</row>
    <row r="201" spans="1:19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</row>
    <row r="202" spans="1:19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</row>
    <row r="203" spans="1:19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1:19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</row>
    <row r="205" spans="1:19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</row>
    <row r="206" spans="1:19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</row>
    <row r="207" spans="1:19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</row>
    <row r="208" spans="1:19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</row>
    <row r="209" spans="1:19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</row>
    <row r="210" spans="1:19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</row>
    <row r="211" spans="1:19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</row>
    <row r="212" spans="1:19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</row>
    <row r="213" spans="1:19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1:19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1:19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</row>
    <row r="216" spans="1:19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1:19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</row>
    <row r="218" spans="1:19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</row>
    <row r="219" spans="1:19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</row>
    <row r="220" spans="1:19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</row>
    <row r="221" spans="1:19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</row>
    <row r="222" spans="1:19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</row>
    <row r="223" spans="1:19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1:19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</row>
    <row r="225" spans="1:19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</row>
    <row r="226" spans="1:19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</row>
    <row r="227" spans="1:19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</row>
    <row r="228" spans="1:19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1:19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</row>
    <row r="230" spans="1:19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</row>
    <row r="231" spans="1:19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</row>
    <row r="232" spans="1:19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</row>
    <row r="233" spans="1:19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1:19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</row>
    <row r="235" spans="1:19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</row>
    <row r="236" spans="1:19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</row>
    <row r="237" spans="1:19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19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1:19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</row>
    <row r="241" spans="1:19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</row>
    <row r="243" spans="1:19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</row>
    <row r="245" spans="1:19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1:19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</row>
    <row r="247" spans="1:19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1:19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1:19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</row>
    <row r="251" spans="1:19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</row>
    <row r="252" spans="1:19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</row>
    <row r="253" spans="1:19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</row>
    <row r="254" spans="1:19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</row>
    <row r="255" spans="1:19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</row>
    <row r="256" spans="1:19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</row>
    <row r="257" spans="1:19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</row>
    <row r="258" spans="1:19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</row>
    <row r="259" spans="1:19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1:19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</row>
    <row r="261" spans="1:19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</row>
    <row r="262" spans="1:19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</row>
    <row r="263" spans="1:19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1:19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</row>
    <row r="266" spans="1:19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</row>
    <row r="268" spans="1:19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1:19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</row>
    <row r="270" spans="1:19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</row>
    <row r="271" spans="1:19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</row>
    <row r="272" spans="1:19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</row>
    <row r="273" spans="1:19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</row>
    <row r="274" spans="1:19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</row>
    <row r="275" spans="1:19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</row>
    <row r="276" spans="1:19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</row>
    <row r="277" spans="1:19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</row>
    <row r="278" spans="1:19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1:19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</row>
    <row r="280" spans="1:19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</row>
    <row r="281" spans="1:19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</row>
    <row r="283" spans="1:19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1:19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</row>
    <row r="285" spans="1:19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</row>
    <row r="286" spans="1:19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</row>
    <row r="287" spans="1:19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1:19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</row>
    <row r="289" spans="1:19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</row>
    <row r="290" spans="1:19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</row>
    <row r="291" spans="1:19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1:19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</row>
    <row r="293" spans="1:19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1:19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1:19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</row>
    <row r="296" spans="1:19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19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1:19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</row>
    <row r="299" spans="1:19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1:19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</row>
    <row r="301" spans="1:19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1:19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</row>
    <row r="303" spans="1:19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1:19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1:19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</row>
    <row r="306" spans="1:19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</row>
    <row r="307" spans="1:19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</row>
    <row r="308" spans="1:19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</row>
    <row r="309" spans="1:19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1:19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</row>
    <row r="311" spans="1:19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</row>
    <row r="312" spans="1:19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</row>
    <row r="313" spans="1:19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1:19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</row>
    <row r="315" spans="1:19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</row>
    <row r="316" spans="1:19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</row>
    <row r="317" spans="1:19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</row>
    <row r="318" spans="1:19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</row>
    <row r="319" spans="1:19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</row>
    <row r="320" spans="1:19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</row>
    <row r="321" spans="1:19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</row>
    <row r="322" spans="1:19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</row>
    <row r="323" spans="1:19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</row>
    <row r="324" spans="1:19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</row>
    <row r="325" spans="1:19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</row>
    <row r="326" spans="1:19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</row>
    <row r="327" spans="1:19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</row>
    <row r="328" spans="1:19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</row>
    <row r="329" spans="1:19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</row>
    <row r="330" spans="1:19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</row>
    <row r="331" spans="1:19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</row>
    <row r="332" spans="1:19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</row>
    <row r="333" spans="1:19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</row>
    <row r="334" spans="1:19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</row>
    <row r="335" spans="1:19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</row>
    <row r="336" spans="1:19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</row>
    <row r="337" spans="1:19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</row>
    <row r="338" spans="1:19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</row>
    <row r="339" spans="1:19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</row>
    <row r="340" spans="1:19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</row>
    <row r="341" spans="1:19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</row>
    <row r="342" spans="1:19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</row>
    <row r="343" spans="1:19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</row>
    <row r="344" spans="1:19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</row>
    <row r="345" spans="1:19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</row>
    <row r="346" spans="1:19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</row>
    <row r="347" spans="1:19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</row>
    <row r="348" spans="1:19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</row>
    <row r="349" spans="1:19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</row>
    <row r="350" spans="1:19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</row>
    <row r="351" spans="1:19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</row>
    <row r="352" spans="1:19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</row>
    <row r="353" spans="1:19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</row>
    <row r="354" spans="1:19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</row>
    <row r="355" spans="1:19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</row>
    <row r="356" spans="1:19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</row>
    <row r="357" spans="1:19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</row>
    <row r="358" spans="1:19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</row>
    <row r="359" spans="1:19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</row>
    <row r="360" spans="1:19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</row>
    <row r="361" spans="1:19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</row>
    <row r="362" spans="1:19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</row>
    <row r="363" spans="1:19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</row>
    <row r="364" spans="1:19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</row>
    <row r="365" spans="1:19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</row>
  </sheetData>
  <sortState ref="B2:B41">
    <sortCondition ref="B2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9" workbookViewId="0">
      <selection activeCell="B17" sqref="B17:D17"/>
    </sheetView>
  </sheetViews>
  <sheetFormatPr baseColWidth="10" defaultRowHeight="15" x14ac:dyDescent="0.25"/>
  <cols>
    <col min="5" max="5" width="15.140625" customWidth="1"/>
    <col min="7" max="7" width="18.28515625" customWidth="1"/>
  </cols>
  <sheetData>
    <row r="1" spans="1:13" x14ac:dyDescent="0.3">
      <c r="B1" t="s">
        <v>51</v>
      </c>
      <c r="C1">
        <v>6.66</v>
      </c>
    </row>
    <row r="2" spans="1:13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3">
      <c r="A3" s="14"/>
      <c r="B3" s="83" t="s">
        <v>111</v>
      </c>
      <c r="C3" s="83" t="s">
        <v>19</v>
      </c>
      <c r="D3" s="83" t="s">
        <v>184</v>
      </c>
      <c r="E3" s="83" t="s">
        <v>185</v>
      </c>
      <c r="F3" s="83" t="s">
        <v>15</v>
      </c>
      <c r="G3" s="83" t="s">
        <v>186</v>
      </c>
      <c r="H3" s="83"/>
      <c r="I3" s="83"/>
      <c r="J3" s="14"/>
      <c r="K3" s="14"/>
      <c r="L3" s="14"/>
      <c r="M3" s="14"/>
    </row>
    <row r="4" spans="1:13" x14ac:dyDescent="0.3">
      <c r="A4" s="14"/>
      <c r="B4" s="14">
        <v>1</v>
      </c>
      <c r="C4" s="14">
        <v>4.5</v>
      </c>
      <c r="D4" s="14">
        <f>C1-C4</f>
        <v>2.16</v>
      </c>
      <c r="E4" s="14">
        <f>POWER(D4,2)</f>
        <v>4.6656000000000004</v>
      </c>
      <c r="F4" s="14">
        <v>3</v>
      </c>
      <c r="G4" s="14">
        <f>F4*E4</f>
        <v>13.9968</v>
      </c>
      <c r="H4" s="14"/>
      <c r="I4" s="14"/>
      <c r="J4" s="14"/>
      <c r="K4" s="14"/>
      <c r="L4" s="14"/>
      <c r="M4" s="14"/>
    </row>
    <row r="5" spans="1:13" x14ac:dyDescent="0.3">
      <c r="A5" s="14"/>
      <c r="B5" s="14">
        <v>2</v>
      </c>
      <c r="C5" s="14">
        <v>5.5</v>
      </c>
      <c r="D5" s="14">
        <f>C1-C5</f>
        <v>1.1600000000000001</v>
      </c>
      <c r="E5" s="14">
        <f t="shared" ref="E5:E9" si="0">POWER(D5,2)</f>
        <v>1.3456000000000004</v>
      </c>
      <c r="F5" s="14">
        <v>10</v>
      </c>
      <c r="G5" s="14">
        <f t="shared" ref="G5:G9" si="1">F5*E5</f>
        <v>13.456000000000003</v>
      </c>
      <c r="H5" s="14"/>
      <c r="I5" s="14"/>
      <c r="J5" s="14"/>
      <c r="K5" s="14"/>
      <c r="L5" s="14"/>
      <c r="M5" s="14"/>
    </row>
    <row r="6" spans="1:13" x14ac:dyDescent="0.3">
      <c r="A6" s="14"/>
      <c r="B6" s="14">
        <v>3</v>
      </c>
      <c r="C6" s="14">
        <v>6.5</v>
      </c>
      <c r="D6" s="14">
        <f>C1-C6</f>
        <v>0.16000000000000014</v>
      </c>
      <c r="E6" s="14">
        <f t="shared" si="0"/>
        <v>2.5600000000000046E-2</v>
      </c>
      <c r="F6" s="14">
        <v>8</v>
      </c>
      <c r="G6" s="14">
        <f t="shared" si="1"/>
        <v>0.20480000000000037</v>
      </c>
      <c r="H6" s="14"/>
      <c r="I6" s="14"/>
      <c r="J6" s="14"/>
      <c r="K6" s="14"/>
      <c r="L6" s="14"/>
      <c r="M6" s="14"/>
    </row>
    <row r="7" spans="1:13" x14ac:dyDescent="0.3">
      <c r="A7" s="14"/>
      <c r="B7" s="14">
        <v>4</v>
      </c>
      <c r="C7" s="14">
        <v>7.5</v>
      </c>
      <c r="D7" s="14">
        <f>C7-C1</f>
        <v>0.83999999999999986</v>
      </c>
      <c r="E7" s="14">
        <f t="shared" si="0"/>
        <v>0.70559999999999978</v>
      </c>
      <c r="F7" s="14">
        <v>10</v>
      </c>
      <c r="G7" s="14">
        <f t="shared" si="1"/>
        <v>7.0559999999999974</v>
      </c>
      <c r="H7" s="14"/>
      <c r="I7" s="14"/>
      <c r="J7" s="14"/>
      <c r="K7" s="14"/>
      <c r="L7" s="14"/>
      <c r="M7" s="14"/>
    </row>
    <row r="8" spans="1:13" x14ac:dyDescent="0.3">
      <c r="A8" s="14"/>
      <c r="B8" s="14">
        <v>5</v>
      </c>
      <c r="C8" s="14">
        <v>8.5</v>
      </c>
      <c r="D8" s="14">
        <f>C8-C1</f>
        <v>1.8399999999999999</v>
      </c>
      <c r="E8" s="14">
        <f t="shared" si="0"/>
        <v>3.3855999999999993</v>
      </c>
      <c r="F8" s="14">
        <v>3</v>
      </c>
      <c r="G8" s="14">
        <f t="shared" si="1"/>
        <v>10.156799999999997</v>
      </c>
      <c r="H8" s="14"/>
      <c r="I8" s="14"/>
      <c r="J8" s="14"/>
      <c r="K8" s="14"/>
      <c r="L8" s="14"/>
      <c r="M8" s="14"/>
    </row>
    <row r="9" spans="1:13" x14ac:dyDescent="0.3">
      <c r="A9" s="14"/>
      <c r="B9" s="14">
        <v>6</v>
      </c>
      <c r="C9" s="14">
        <v>9.5</v>
      </c>
      <c r="D9" s="14">
        <f>C9-C1</f>
        <v>2.84</v>
      </c>
      <c r="E9" s="14">
        <f t="shared" si="0"/>
        <v>8.0655999999999999</v>
      </c>
      <c r="F9" s="15">
        <v>2</v>
      </c>
      <c r="G9" s="15">
        <f t="shared" si="1"/>
        <v>16.1312</v>
      </c>
      <c r="H9" s="14"/>
      <c r="I9" s="14"/>
      <c r="J9" s="14"/>
      <c r="K9" s="14"/>
      <c r="L9" s="14"/>
      <c r="M9" s="14"/>
    </row>
    <row r="10" spans="1:13" x14ac:dyDescent="0.3">
      <c r="A10" s="14"/>
      <c r="B10" s="14"/>
      <c r="C10" s="14"/>
      <c r="D10" s="14"/>
      <c r="E10" s="14"/>
      <c r="F10" s="14">
        <f>SUM(F4:F9)</f>
        <v>36</v>
      </c>
      <c r="G10" s="14">
        <f>SUM(G4:G9)</f>
        <v>61.001599999999996</v>
      </c>
      <c r="H10" s="14"/>
      <c r="I10" s="14"/>
      <c r="J10" s="14"/>
      <c r="K10" s="14"/>
      <c r="L10" s="14"/>
      <c r="M10" s="14"/>
    </row>
    <row r="11" spans="1:13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x14ac:dyDescent="0.3">
      <c r="A12" s="14"/>
      <c r="B12" s="14"/>
      <c r="C12" s="14" t="s">
        <v>187</v>
      </c>
      <c r="D12" s="14">
        <f>G10/36</f>
        <v>1.6944888888888887</v>
      </c>
      <c r="E12" s="14">
        <f>SQRT(D12)</f>
        <v>1.3017253507898234</v>
      </c>
      <c r="F12" s="14"/>
      <c r="G12" s="14"/>
      <c r="H12" s="14"/>
      <c r="I12" s="14"/>
      <c r="J12" s="14"/>
      <c r="K12" s="14"/>
      <c r="L12" s="14"/>
      <c r="M12" s="14"/>
    </row>
    <row r="13" spans="1:13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3">
      <c r="A14" s="14"/>
      <c r="B14" s="14"/>
      <c r="C14" s="14" t="s">
        <v>140</v>
      </c>
      <c r="D14" s="14"/>
      <c r="E14" s="14">
        <f>POWER(E12,2)</f>
        <v>1.6944888888888889</v>
      </c>
      <c r="F14" s="14"/>
      <c r="G14" s="14"/>
      <c r="H14" s="14"/>
      <c r="I14" s="14"/>
      <c r="J14" s="14"/>
      <c r="K14" s="14"/>
      <c r="L14" s="14"/>
      <c r="M14" s="14"/>
    </row>
    <row r="15" spans="1:13" x14ac:dyDescent="0.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3">
      <c r="A17" s="14"/>
      <c r="B17" s="83" t="s">
        <v>111</v>
      </c>
      <c r="C17" s="83" t="s">
        <v>184</v>
      </c>
      <c r="D17" s="14" t="s">
        <v>188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3">
      <c r="A18" s="14"/>
      <c r="B18" s="14">
        <v>1</v>
      </c>
      <c r="C18" s="14">
        <f t="shared" ref="C18:C23" si="2">D4</f>
        <v>2.16</v>
      </c>
      <c r="D18" s="14">
        <f t="shared" ref="D18:D23" si="3">F4</f>
        <v>3</v>
      </c>
      <c r="E18" s="14">
        <f>C18*D18</f>
        <v>6.48</v>
      </c>
      <c r="F18" s="14"/>
      <c r="G18" s="14"/>
      <c r="H18" s="14"/>
      <c r="I18" s="14"/>
      <c r="J18" s="14"/>
      <c r="K18" s="14"/>
      <c r="L18" s="14"/>
      <c r="M18" s="14"/>
    </row>
    <row r="19" spans="1:13" x14ac:dyDescent="0.3">
      <c r="A19" s="14"/>
      <c r="B19" s="14">
        <v>2</v>
      </c>
      <c r="C19" s="14">
        <f t="shared" si="2"/>
        <v>1.1600000000000001</v>
      </c>
      <c r="D19" s="14">
        <f t="shared" si="3"/>
        <v>10</v>
      </c>
      <c r="E19" s="14">
        <f t="shared" ref="E19:E23" si="4">C19*D19</f>
        <v>11.600000000000001</v>
      </c>
      <c r="F19" s="14"/>
      <c r="G19" s="14"/>
      <c r="H19" s="14"/>
      <c r="I19" s="14"/>
      <c r="J19" s="14"/>
      <c r="K19" s="14"/>
      <c r="L19" s="14"/>
      <c r="M19" s="14"/>
    </row>
    <row r="20" spans="1:13" x14ac:dyDescent="0.3">
      <c r="A20" s="14"/>
      <c r="B20" s="14">
        <v>3</v>
      </c>
      <c r="C20" s="14">
        <f t="shared" si="2"/>
        <v>0.16000000000000014</v>
      </c>
      <c r="D20" s="14">
        <f t="shared" si="3"/>
        <v>8</v>
      </c>
      <c r="E20" s="14">
        <f t="shared" si="4"/>
        <v>1.2800000000000011</v>
      </c>
      <c r="F20" s="14"/>
      <c r="G20" s="14"/>
      <c r="H20" s="14"/>
      <c r="I20" s="14"/>
      <c r="J20" s="14"/>
      <c r="K20" s="14"/>
      <c r="L20" s="14"/>
      <c r="M20" s="14"/>
    </row>
    <row r="21" spans="1:13" x14ac:dyDescent="0.3">
      <c r="A21" s="14"/>
      <c r="B21" s="14">
        <v>4</v>
      </c>
      <c r="C21" s="14">
        <f t="shared" si="2"/>
        <v>0.83999999999999986</v>
      </c>
      <c r="D21" s="14">
        <f t="shared" si="3"/>
        <v>10</v>
      </c>
      <c r="E21" s="14">
        <f t="shared" si="4"/>
        <v>8.3999999999999986</v>
      </c>
      <c r="F21" s="14"/>
      <c r="G21" s="14"/>
      <c r="H21" s="14"/>
      <c r="I21" s="14"/>
      <c r="J21" s="14"/>
      <c r="K21" s="14"/>
      <c r="L21" s="14"/>
      <c r="M21" s="14"/>
    </row>
    <row r="22" spans="1:13" x14ac:dyDescent="0.3">
      <c r="A22" s="14"/>
      <c r="B22" s="14">
        <v>5</v>
      </c>
      <c r="C22" s="14">
        <f t="shared" si="2"/>
        <v>1.8399999999999999</v>
      </c>
      <c r="D22" s="14">
        <f t="shared" si="3"/>
        <v>3</v>
      </c>
      <c r="E22" s="14">
        <f t="shared" si="4"/>
        <v>5.52</v>
      </c>
      <c r="F22" s="14"/>
      <c r="G22" s="14"/>
      <c r="H22" s="14"/>
      <c r="I22" s="14"/>
      <c r="J22" s="14"/>
      <c r="K22" s="14"/>
      <c r="L22" s="14"/>
      <c r="M22" s="14"/>
    </row>
    <row r="23" spans="1:13" x14ac:dyDescent="0.3">
      <c r="B23" s="14">
        <v>6</v>
      </c>
      <c r="C23" s="14">
        <f t="shared" si="2"/>
        <v>2.84</v>
      </c>
      <c r="D23" s="14">
        <f t="shared" si="3"/>
        <v>2</v>
      </c>
      <c r="E23" s="14">
        <f t="shared" si="4"/>
        <v>5.68</v>
      </c>
    </row>
    <row r="24" spans="1:13" x14ac:dyDescent="0.3">
      <c r="E24" s="14">
        <f>SUM(E18:E23)</f>
        <v>38.96</v>
      </c>
    </row>
    <row r="26" spans="1:13" x14ac:dyDescent="0.3">
      <c r="C26" t="s">
        <v>147</v>
      </c>
      <c r="D26" s="14">
        <f>E24</f>
        <v>38.96</v>
      </c>
      <c r="E26">
        <f>D26/D27</f>
        <v>1.0822222222222222</v>
      </c>
    </row>
    <row r="27" spans="1:13" x14ac:dyDescent="0.3">
      <c r="D27" s="14">
        <f>F10</f>
        <v>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48"/>
  <sheetViews>
    <sheetView tabSelected="1" topLeftCell="E88" zoomScale="82" zoomScaleNormal="170" workbookViewId="0">
      <selection activeCell="Q73" sqref="Q73"/>
    </sheetView>
  </sheetViews>
  <sheetFormatPr baseColWidth="10" defaultRowHeight="15" x14ac:dyDescent="0.25"/>
  <cols>
    <col min="6" max="6" width="25" customWidth="1"/>
    <col min="7" max="7" width="24.42578125" customWidth="1"/>
    <col min="8" max="8" width="14" customWidth="1"/>
    <col min="9" max="9" width="21.28515625" customWidth="1"/>
    <col min="10" max="10" width="14.28515625" customWidth="1"/>
    <col min="11" max="11" width="26" customWidth="1"/>
  </cols>
  <sheetData>
    <row r="2" spans="2:27" ht="14.45" x14ac:dyDescent="0.3">
      <c r="B2" s="87">
        <v>153</v>
      </c>
      <c r="C2" s="87">
        <v>1</v>
      </c>
      <c r="F2" t="s">
        <v>194</v>
      </c>
    </row>
    <row r="3" spans="2:27" ht="14.45" x14ac:dyDescent="0.3">
      <c r="B3" s="87">
        <v>155</v>
      </c>
      <c r="C3" s="87"/>
      <c r="F3" t="s">
        <v>195</v>
      </c>
    </row>
    <row r="4" spans="2:27" ht="14.45" x14ac:dyDescent="0.3">
      <c r="B4" s="87">
        <v>155</v>
      </c>
      <c r="C4" s="87">
        <v>2</v>
      </c>
    </row>
    <row r="5" spans="2:27" ht="14.45" x14ac:dyDescent="0.3">
      <c r="B5" s="87">
        <v>157</v>
      </c>
      <c r="C5" s="95">
        <v>1</v>
      </c>
      <c r="D5">
        <f>SUM(C2:C5)</f>
        <v>4</v>
      </c>
      <c r="F5" t="s">
        <v>192</v>
      </c>
    </row>
    <row r="6" spans="2:27" ht="14.45" x14ac:dyDescent="0.3">
      <c r="B6" s="88">
        <v>158</v>
      </c>
      <c r="C6" s="97">
        <v>1</v>
      </c>
      <c r="D6" s="50"/>
      <c r="F6" t="s">
        <v>53</v>
      </c>
    </row>
    <row r="7" spans="2:27" ht="14.45" x14ac:dyDescent="0.3">
      <c r="B7" s="88">
        <v>159</v>
      </c>
      <c r="C7" s="97">
        <v>1</v>
      </c>
      <c r="D7" s="50"/>
      <c r="F7" t="s">
        <v>196</v>
      </c>
      <c r="H7" s="1"/>
    </row>
    <row r="8" spans="2:27" ht="14.45" x14ac:dyDescent="0.3">
      <c r="B8" s="88">
        <v>160</v>
      </c>
      <c r="C8" s="97"/>
      <c r="D8" s="50"/>
    </row>
    <row r="9" spans="2:27" ht="14.45" x14ac:dyDescent="0.3">
      <c r="B9" s="88">
        <v>160</v>
      </c>
      <c r="C9" s="97">
        <v>2</v>
      </c>
      <c r="D9" s="50"/>
    </row>
    <row r="10" spans="2:27" ht="14.45" x14ac:dyDescent="0.3">
      <c r="B10" s="88">
        <v>161</v>
      </c>
      <c r="C10" s="97"/>
      <c r="D10" s="50"/>
      <c r="U10" t="s">
        <v>210</v>
      </c>
    </row>
    <row r="11" spans="2:27" ht="14.45" x14ac:dyDescent="0.3">
      <c r="B11" s="88">
        <v>161</v>
      </c>
      <c r="C11" s="89">
        <v>2</v>
      </c>
      <c r="D11" s="50">
        <f>SUM(C6:C11)</f>
        <v>6</v>
      </c>
      <c r="F11" s="114" t="s">
        <v>53</v>
      </c>
      <c r="G11" s="121" t="s">
        <v>197</v>
      </c>
      <c r="H11" s="121" t="s">
        <v>198</v>
      </c>
      <c r="I11" s="114" t="s">
        <v>17</v>
      </c>
      <c r="J11" s="114" t="s">
        <v>199</v>
      </c>
      <c r="K11" s="114" t="s">
        <v>16</v>
      </c>
      <c r="L11" s="114" t="s">
        <v>18</v>
      </c>
      <c r="M11" s="114" t="s">
        <v>19</v>
      </c>
      <c r="N11" s="114" t="s">
        <v>126</v>
      </c>
      <c r="O11" s="35"/>
    </row>
    <row r="12" spans="2:27" ht="14.45" x14ac:dyDescent="0.3">
      <c r="B12" s="90">
        <v>162</v>
      </c>
      <c r="C12" s="98"/>
      <c r="D12" s="50"/>
      <c r="F12" s="114"/>
      <c r="G12" s="114"/>
      <c r="H12" s="114"/>
      <c r="I12" s="114"/>
      <c r="J12" s="114"/>
      <c r="K12" s="117"/>
      <c r="L12" s="117"/>
      <c r="M12" s="114"/>
      <c r="N12" s="118"/>
      <c r="U12">
        <f>170.66-M12</f>
        <v>170.66</v>
      </c>
      <c r="V12">
        <f>POWER(U12,2)</f>
        <v>29124.835599999999</v>
      </c>
      <c r="W12">
        <f>V12*I12</f>
        <v>0</v>
      </c>
      <c r="AA12">
        <f>U12*I12</f>
        <v>0</v>
      </c>
    </row>
    <row r="13" spans="2:27" ht="14.45" x14ac:dyDescent="0.3">
      <c r="B13" s="90">
        <v>162</v>
      </c>
      <c r="C13" s="98"/>
      <c r="D13" s="50"/>
      <c r="F13" s="114"/>
      <c r="G13" s="114"/>
      <c r="H13" s="114"/>
      <c r="I13" s="114"/>
      <c r="J13" s="114"/>
      <c r="K13" s="117"/>
      <c r="L13" s="117"/>
      <c r="M13" s="114"/>
      <c r="N13" s="118"/>
      <c r="U13">
        <f t="shared" ref="U13:U15" si="0">170.66-M13</f>
        <v>170.66</v>
      </c>
      <c r="V13">
        <f t="shared" ref="V13:V20" si="1">POWER(U13,2)</f>
        <v>29124.835599999999</v>
      </c>
      <c r="W13">
        <f t="shared" ref="W13:W20" si="2">V13*I13</f>
        <v>0</v>
      </c>
      <c r="AA13">
        <f t="shared" ref="AA13:AA20" si="3">U13*I13</f>
        <v>0</v>
      </c>
    </row>
    <row r="14" spans="2:27" ht="14.45" x14ac:dyDescent="0.3">
      <c r="B14" s="90">
        <v>162</v>
      </c>
      <c r="C14" s="98">
        <v>3</v>
      </c>
      <c r="D14" s="50"/>
      <c r="F14" s="114"/>
      <c r="G14" s="114"/>
      <c r="H14" s="114"/>
      <c r="I14" s="114"/>
      <c r="J14" s="114"/>
      <c r="K14" s="117"/>
      <c r="L14" s="117"/>
      <c r="M14" s="114"/>
      <c r="N14" s="118"/>
      <c r="U14">
        <f t="shared" si="0"/>
        <v>170.66</v>
      </c>
      <c r="V14">
        <f t="shared" si="1"/>
        <v>29124.835599999999</v>
      </c>
      <c r="W14">
        <f t="shared" si="2"/>
        <v>0</v>
      </c>
      <c r="AA14">
        <f t="shared" si="3"/>
        <v>0</v>
      </c>
    </row>
    <row r="15" spans="2:27" ht="14.45" x14ac:dyDescent="0.3">
      <c r="B15" s="90">
        <v>163</v>
      </c>
      <c r="C15" s="98"/>
      <c r="D15" s="50"/>
      <c r="F15" s="114"/>
      <c r="G15" s="114"/>
      <c r="H15" s="114"/>
      <c r="I15" s="114"/>
      <c r="J15" s="114"/>
      <c r="K15" s="117"/>
      <c r="L15" s="117"/>
      <c r="M15" s="114"/>
      <c r="N15" s="118"/>
      <c r="O15" s="48"/>
      <c r="U15">
        <f t="shared" si="0"/>
        <v>170.66</v>
      </c>
      <c r="V15">
        <f t="shared" si="1"/>
        <v>29124.835599999999</v>
      </c>
      <c r="W15">
        <f t="shared" si="2"/>
        <v>0</v>
      </c>
      <c r="AA15">
        <f t="shared" si="3"/>
        <v>0</v>
      </c>
    </row>
    <row r="16" spans="2:27" ht="14.45" x14ac:dyDescent="0.3">
      <c r="B16" s="90">
        <v>163</v>
      </c>
      <c r="C16" s="98"/>
      <c r="D16" s="50"/>
      <c r="F16" s="114"/>
      <c r="G16" s="114"/>
      <c r="H16" s="114"/>
      <c r="I16" s="114"/>
      <c r="J16" s="114"/>
      <c r="K16" s="117"/>
      <c r="L16" s="117"/>
      <c r="M16" s="114"/>
      <c r="N16" s="118"/>
      <c r="U16">
        <f>M16-170.66</f>
        <v>-170.66</v>
      </c>
      <c r="V16">
        <f t="shared" si="1"/>
        <v>29124.835599999999</v>
      </c>
      <c r="W16">
        <f t="shared" si="2"/>
        <v>0</v>
      </c>
      <c r="AA16">
        <f t="shared" si="3"/>
        <v>0</v>
      </c>
    </row>
    <row r="17" spans="2:29" ht="14.45" x14ac:dyDescent="0.3">
      <c r="B17" s="90">
        <v>163</v>
      </c>
      <c r="C17" s="98">
        <v>3</v>
      </c>
      <c r="D17" s="50"/>
      <c r="F17" s="114"/>
      <c r="G17" s="114"/>
      <c r="H17" s="114"/>
      <c r="I17" s="114"/>
      <c r="J17" s="114"/>
      <c r="K17" s="117"/>
      <c r="L17" s="117"/>
      <c r="M17" s="114"/>
      <c r="N17" s="118"/>
      <c r="U17">
        <f t="shared" ref="U17:U20" si="4">M17-170.66</f>
        <v>-170.66</v>
      </c>
      <c r="V17">
        <f t="shared" si="1"/>
        <v>29124.835599999999</v>
      </c>
      <c r="W17">
        <f t="shared" si="2"/>
        <v>0</v>
      </c>
      <c r="AA17">
        <f t="shared" si="3"/>
        <v>0</v>
      </c>
    </row>
    <row r="18" spans="2:29" ht="14.45" x14ac:dyDescent="0.3">
      <c r="B18" s="90">
        <v>164</v>
      </c>
      <c r="C18" s="98"/>
      <c r="D18" s="50"/>
      <c r="F18" s="114"/>
      <c r="G18" s="114"/>
      <c r="H18" s="114"/>
      <c r="I18" s="114"/>
      <c r="J18" s="114"/>
      <c r="K18" s="117"/>
      <c r="L18" s="117"/>
      <c r="M18" s="119"/>
      <c r="N18" s="118"/>
      <c r="U18">
        <f t="shared" si="4"/>
        <v>-170.66</v>
      </c>
      <c r="V18">
        <f t="shared" si="1"/>
        <v>29124.835599999999</v>
      </c>
      <c r="W18">
        <f t="shared" si="2"/>
        <v>0</v>
      </c>
      <c r="AA18">
        <f t="shared" si="3"/>
        <v>0</v>
      </c>
    </row>
    <row r="19" spans="2:29" ht="14.45" x14ac:dyDescent="0.3">
      <c r="B19" s="90">
        <v>164</v>
      </c>
      <c r="C19" s="98"/>
      <c r="D19" s="50"/>
      <c r="F19" s="114"/>
      <c r="G19" s="114"/>
      <c r="H19" s="114"/>
      <c r="I19" s="114"/>
      <c r="J19" s="114"/>
      <c r="K19" s="117"/>
      <c r="L19" s="117"/>
      <c r="M19" s="122"/>
      <c r="N19" s="118"/>
      <c r="U19">
        <f t="shared" si="4"/>
        <v>-170.66</v>
      </c>
      <c r="V19">
        <f t="shared" si="1"/>
        <v>29124.835599999999</v>
      </c>
      <c r="W19">
        <f t="shared" si="2"/>
        <v>0</v>
      </c>
      <c r="AA19">
        <f t="shared" si="3"/>
        <v>0</v>
      </c>
    </row>
    <row r="20" spans="2:29" ht="14.45" x14ac:dyDescent="0.3">
      <c r="B20" s="90">
        <v>164</v>
      </c>
      <c r="C20" s="98">
        <v>3</v>
      </c>
      <c r="D20" s="50"/>
      <c r="F20" s="114"/>
      <c r="G20" s="114"/>
      <c r="H20" s="114"/>
      <c r="I20" s="114"/>
      <c r="J20" s="114"/>
      <c r="K20" s="117"/>
      <c r="L20" s="117"/>
      <c r="M20" s="114"/>
      <c r="N20" s="118"/>
      <c r="U20">
        <f t="shared" si="4"/>
        <v>-170.66</v>
      </c>
      <c r="V20">
        <f t="shared" si="1"/>
        <v>29124.835599999999</v>
      </c>
      <c r="W20">
        <f t="shared" si="2"/>
        <v>0</v>
      </c>
      <c r="AA20" s="1">
        <f t="shared" si="3"/>
        <v>0</v>
      </c>
    </row>
    <row r="21" spans="2:29" ht="14.45" x14ac:dyDescent="0.3">
      <c r="B21" s="90">
        <v>165</v>
      </c>
      <c r="C21" s="98"/>
      <c r="D21" s="50"/>
      <c r="F21" s="114"/>
      <c r="G21" s="114"/>
      <c r="H21" s="114"/>
      <c r="I21" s="114"/>
      <c r="J21" s="114"/>
      <c r="K21" s="120"/>
      <c r="L21" s="120"/>
      <c r="M21" s="114"/>
      <c r="N21" s="118"/>
      <c r="W21">
        <f>SUM(W12:W20)</f>
        <v>0</v>
      </c>
      <c r="AA21">
        <f>SUM(AA12:AA20)</f>
        <v>0</v>
      </c>
    </row>
    <row r="22" spans="2:29" ht="14.45" x14ac:dyDescent="0.3">
      <c r="B22" s="90">
        <v>165</v>
      </c>
      <c r="C22" s="98">
        <v>2</v>
      </c>
      <c r="D22" s="50">
        <f>SUM(C12:C22)</f>
        <v>11</v>
      </c>
      <c r="AC22">
        <f>AA21/75</f>
        <v>0</v>
      </c>
    </row>
    <row r="23" spans="2:29" x14ac:dyDescent="0.25">
      <c r="B23" s="100">
        <v>166</v>
      </c>
      <c r="C23" s="101"/>
      <c r="D23" s="50"/>
      <c r="F23" s="126" t="s">
        <v>200</v>
      </c>
      <c r="G23" s="126"/>
      <c r="H23" s="126"/>
      <c r="I23" s="126"/>
      <c r="J23" s="126"/>
      <c r="K23" s="126"/>
      <c r="L23" s="126"/>
      <c r="M23" s="126"/>
      <c r="W23">
        <f>W21/75</f>
        <v>0</v>
      </c>
      <c r="X23">
        <f>SQRT(W23)</f>
        <v>0</v>
      </c>
      <c r="Y23" t="s">
        <v>211</v>
      </c>
      <c r="AC23" t="s">
        <v>146</v>
      </c>
    </row>
    <row r="24" spans="2:29" ht="14.45" x14ac:dyDescent="0.3">
      <c r="B24" s="100">
        <v>166</v>
      </c>
      <c r="C24" s="101"/>
      <c r="D24" s="50"/>
      <c r="Q24">
        <f>(G20+H20)/2</f>
        <v>0</v>
      </c>
    </row>
    <row r="25" spans="2:29" ht="14.45" x14ac:dyDescent="0.3">
      <c r="B25" s="100">
        <v>166</v>
      </c>
      <c r="C25" s="101">
        <v>3</v>
      </c>
      <c r="D25" s="50"/>
      <c r="E25" s="36"/>
      <c r="F25" s="36" t="s">
        <v>24</v>
      </c>
      <c r="G25" s="36"/>
      <c r="H25" s="37"/>
      <c r="I25" s="36"/>
      <c r="J25" s="36"/>
      <c r="K25" s="36"/>
      <c r="L25" s="36"/>
      <c r="M25" s="36"/>
      <c r="N25" s="36"/>
      <c r="O25" s="36"/>
      <c r="X25">
        <f>POWER(X23,2)</f>
        <v>0</v>
      </c>
      <c r="Y25" t="s">
        <v>140</v>
      </c>
    </row>
    <row r="26" spans="2:29" ht="14.45" x14ac:dyDescent="0.3">
      <c r="B26" s="100">
        <v>167</v>
      </c>
      <c r="C26" s="101"/>
      <c r="D26" s="50"/>
      <c r="E26" s="36"/>
      <c r="F26" s="36"/>
      <c r="G26" s="36"/>
      <c r="H26" s="116"/>
      <c r="I26" s="36"/>
      <c r="J26" s="36"/>
      <c r="K26" s="36"/>
      <c r="L26" s="36"/>
      <c r="M26" s="36"/>
      <c r="N26" s="36"/>
      <c r="O26" s="36"/>
    </row>
    <row r="27" spans="2:29" ht="14.45" x14ac:dyDescent="0.3">
      <c r="B27" s="100">
        <v>167</v>
      </c>
      <c r="C27" s="101"/>
      <c r="D27" s="50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2:29" ht="14.45" x14ac:dyDescent="0.3">
      <c r="B28" s="100">
        <v>167</v>
      </c>
      <c r="C28" s="101"/>
      <c r="D28" s="50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2:29" ht="14.45" x14ac:dyDescent="0.3">
      <c r="B29" s="100">
        <v>167</v>
      </c>
      <c r="C29" s="101">
        <v>4</v>
      </c>
      <c r="D29" s="50"/>
      <c r="E29" s="36"/>
      <c r="F29" s="36"/>
      <c r="G29" s="36"/>
      <c r="H29" s="36"/>
      <c r="I29" s="36"/>
      <c r="J29" s="37" t="s">
        <v>104</v>
      </c>
      <c r="K29" s="37"/>
      <c r="L29" s="115"/>
      <c r="M29" s="36"/>
      <c r="N29" s="36"/>
      <c r="O29" s="36"/>
    </row>
    <row r="30" spans="2:29" ht="14.45" x14ac:dyDescent="0.3">
      <c r="B30" s="100">
        <v>168</v>
      </c>
      <c r="C30" s="101"/>
      <c r="D30" s="50"/>
      <c r="E30" s="36"/>
      <c r="F30" s="36"/>
      <c r="G30" s="36"/>
      <c r="H30" s="36"/>
      <c r="I30" s="36"/>
      <c r="J30" s="36">
        <v>2</v>
      </c>
      <c r="K30" s="36"/>
      <c r="L30" s="36"/>
      <c r="M30" s="36"/>
      <c r="N30" s="36"/>
      <c r="O30" s="36"/>
    </row>
    <row r="31" spans="2:29" ht="14.45" x14ac:dyDescent="0.3">
      <c r="B31" s="100">
        <v>168</v>
      </c>
      <c r="C31" s="101"/>
      <c r="D31" s="50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2:29" ht="14.45" x14ac:dyDescent="0.3">
      <c r="B32" s="100">
        <v>168</v>
      </c>
      <c r="C32" s="101">
        <v>3</v>
      </c>
      <c r="D32" s="50"/>
      <c r="E32" s="36"/>
      <c r="F32" s="36"/>
      <c r="G32" s="36"/>
      <c r="H32" s="36"/>
      <c r="I32" s="36"/>
      <c r="J32" s="36" t="s">
        <v>12</v>
      </c>
      <c r="K32" s="36">
        <f>G16</f>
        <v>0</v>
      </c>
      <c r="L32" s="36"/>
      <c r="M32" s="36">
        <v>-0.5</v>
      </c>
      <c r="N32" s="36"/>
      <c r="O32" s="36">
        <f>K32-0.5</f>
        <v>-0.5</v>
      </c>
    </row>
    <row r="33" spans="2:16" ht="14.45" x14ac:dyDescent="0.3">
      <c r="B33" s="100">
        <v>169</v>
      </c>
      <c r="C33" s="101"/>
      <c r="D33" s="50"/>
      <c r="E33" s="36"/>
      <c r="F33" s="36"/>
      <c r="G33" s="36"/>
      <c r="H33" s="36"/>
      <c r="I33" s="36"/>
      <c r="J33" s="36" t="s">
        <v>13</v>
      </c>
      <c r="K33" s="36">
        <f>H16</f>
        <v>0</v>
      </c>
      <c r="L33" s="36"/>
      <c r="M33" s="36">
        <v>0.5</v>
      </c>
      <c r="N33" s="36"/>
      <c r="O33" s="36">
        <f>K33+0.5</f>
        <v>0.5</v>
      </c>
      <c r="P33" s="36">
        <f>O33-O32</f>
        <v>1</v>
      </c>
    </row>
    <row r="34" spans="2:16" ht="14.45" x14ac:dyDescent="0.3">
      <c r="B34" s="100">
        <v>169</v>
      </c>
      <c r="C34" s="101"/>
      <c r="D34" s="50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2:16" x14ac:dyDescent="0.25">
      <c r="B35" s="100">
        <v>169</v>
      </c>
      <c r="C35" s="101"/>
      <c r="D35" s="50"/>
      <c r="E35" s="36"/>
      <c r="F35" s="36"/>
      <c r="G35" s="36"/>
      <c r="H35" s="36"/>
      <c r="I35" s="36"/>
      <c r="J35" s="111" t="s">
        <v>201</v>
      </c>
      <c r="K35" s="36">
        <f>J15</f>
        <v>0</v>
      </c>
      <c r="L35" s="36"/>
      <c r="M35" s="36"/>
      <c r="N35" s="36"/>
      <c r="O35" s="36"/>
    </row>
    <row r="36" spans="2:16" ht="14.45" x14ac:dyDescent="0.3">
      <c r="B36" s="100">
        <v>169</v>
      </c>
      <c r="C36" s="102">
        <v>4</v>
      </c>
      <c r="D36" s="50">
        <f>SUM(C23:C36)</f>
        <v>14</v>
      </c>
      <c r="E36" s="36"/>
      <c r="F36" s="36"/>
      <c r="G36" s="36"/>
      <c r="H36" s="36"/>
      <c r="I36" s="36"/>
      <c r="J36" s="36" t="s">
        <v>202</v>
      </c>
      <c r="K36" s="36">
        <f>J16</f>
        <v>0</v>
      </c>
      <c r="L36" s="36"/>
      <c r="M36" s="36"/>
      <c r="N36" s="36"/>
      <c r="O36" s="36"/>
    </row>
    <row r="37" spans="2:16" ht="14.45" x14ac:dyDescent="0.3">
      <c r="B37" s="91">
        <v>170</v>
      </c>
      <c r="C37" s="103">
        <v>1</v>
      </c>
      <c r="D37" s="50"/>
      <c r="E37" s="36"/>
      <c r="F37" s="36"/>
      <c r="G37" s="36"/>
      <c r="H37" s="36"/>
      <c r="I37" s="36"/>
      <c r="J37" s="36" t="s">
        <v>107</v>
      </c>
      <c r="K37" s="36">
        <f>O33-O32</f>
        <v>1</v>
      </c>
      <c r="L37" s="36"/>
      <c r="M37" s="36"/>
      <c r="N37" s="36"/>
      <c r="O37" s="36"/>
    </row>
    <row r="38" spans="2:16" ht="14.45" x14ac:dyDescent="0.3">
      <c r="B38" s="91">
        <v>171</v>
      </c>
      <c r="C38" s="103"/>
      <c r="D38" s="50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2:16" ht="14.45" x14ac:dyDescent="0.3">
      <c r="B39" s="91">
        <v>171</v>
      </c>
      <c r="C39" s="103"/>
      <c r="D39" s="50"/>
      <c r="E39" s="36"/>
      <c r="F39" s="36"/>
      <c r="G39" s="36"/>
      <c r="H39" s="36"/>
      <c r="I39" s="36"/>
      <c r="J39" s="36"/>
      <c r="K39" s="36"/>
      <c r="L39" s="36"/>
      <c r="M39" s="37">
        <f>M29</f>
        <v>0</v>
      </c>
      <c r="N39" s="37" t="s">
        <v>21</v>
      </c>
      <c r="O39" s="37">
        <f>K35</f>
        <v>0</v>
      </c>
    </row>
    <row r="40" spans="2:16" ht="14.45" x14ac:dyDescent="0.3">
      <c r="B40" s="91">
        <v>171</v>
      </c>
      <c r="C40" s="103"/>
      <c r="D40" s="50"/>
      <c r="E40" s="36"/>
      <c r="F40" s="36"/>
      <c r="G40" s="36"/>
      <c r="H40" s="36"/>
      <c r="I40" s="36"/>
      <c r="J40" s="36">
        <f>O32</f>
        <v>-0.5</v>
      </c>
      <c r="K40" s="36" t="s">
        <v>63</v>
      </c>
      <c r="L40" s="36"/>
      <c r="M40" s="36"/>
      <c r="N40" s="36"/>
      <c r="O40" s="36"/>
      <c r="P40" s="36">
        <f>K37</f>
        <v>1</v>
      </c>
    </row>
    <row r="41" spans="2:16" ht="14.45" x14ac:dyDescent="0.3">
      <c r="B41" s="91">
        <v>171</v>
      </c>
      <c r="C41" s="103"/>
      <c r="D41" s="50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2:16" ht="14.45" x14ac:dyDescent="0.3">
      <c r="B42" s="91">
        <v>171</v>
      </c>
      <c r="C42" s="103">
        <v>5</v>
      </c>
      <c r="D42" s="50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2:16" ht="14.45" x14ac:dyDescent="0.3">
      <c r="B43" s="91">
        <v>172</v>
      </c>
      <c r="C43" s="103"/>
      <c r="D43" s="50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2:16" ht="14.45" x14ac:dyDescent="0.3">
      <c r="B44" s="91">
        <v>172</v>
      </c>
      <c r="C44" s="103"/>
      <c r="D44" s="50"/>
      <c r="E44" s="36"/>
      <c r="F44" s="36"/>
      <c r="G44" s="36"/>
      <c r="H44" s="36"/>
      <c r="I44" s="36"/>
      <c r="J44" s="36">
        <f>J40</f>
        <v>-0.5</v>
      </c>
      <c r="K44" s="36" t="s">
        <v>63</v>
      </c>
      <c r="L44" s="36"/>
      <c r="M44" t="e">
        <f>(M39-O39)/N40</f>
        <v>#DIV/0!</v>
      </c>
      <c r="N44" s="36"/>
      <c r="O44" s="36"/>
    </row>
    <row r="45" spans="2:16" ht="14.45" x14ac:dyDescent="0.3">
      <c r="B45" s="91">
        <v>172</v>
      </c>
      <c r="C45" s="103"/>
      <c r="D45" s="50"/>
      <c r="E45" s="36"/>
      <c r="F45" s="36"/>
      <c r="G45" s="36"/>
      <c r="H45" s="36"/>
      <c r="I45" s="36"/>
      <c r="J45" s="36"/>
      <c r="K45" s="36"/>
      <c r="L45" s="36"/>
      <c r="M45" s="36" t="e">
        <f>M44*P40</f>
        <v>#DIV/0!</v>
      </c>
      <c r="N45" s="36"/>
      <c r="O45" s="36"/>
    </row>
    <row r="46" spans="2:16" ht="14.45" x14ac:dyDescent="0.3">
      <c r="B46" s="91">
        <v>172</v>
      </c>
      <c r="C46" s="103"/>
      <c r="D46" s="50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2:16" ht="14.45" x14ac:dyDescent="0.3">
      <c r="B47" s="91">
        <v>172</v>
      </c>
      <c r="C47" s="103"/>
      <c r="D47" s="50"/>
      <c r="E47" s="36"/>
      <c r="F47" s="36"/>
      <c r="G47" s="36"/>
      <c r="H47" s="36"/>
      <c r="I47" s="112" t="s">
        <v>203</v>
      </c>
      <c r="J47" s="112" t="e">
        <f>J44+M45</f>
        <v>#DIV/0!</v>
      </c>
      <c r="K47" s="36"/>
      <c r="L47" s="36"/>
      <c r="M47" s="36"/>
      <c r="N47" s="36"/>
      <c r="O47" s="36"/>
    </row>
    <row r="48" spans="2:16" ht="14.45" x14ac:dyDescent="0.3">
      <c r="B48" s="91">
        <v>172</v>
      </c>
      <c r="C48" s="103">
        <v>6</v>
      </c>
      <c r="D48" s="50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2:16" ht="14.45" x14ac:dyDescent="0.3">
      <c r="B49" s="91">
        <v>173</v>
      </c>
      <c r="C49" s="103"/>
      <c r="D49" s="50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2:16" ht="14.45" x14ac:dyDescent="0.3">
      <c r="B50" s="91">
        <v>173</v>
      </c>
      <c r="C50" s="103">
        <v>2</v>
      </c>
      <c r="D50" s="50">
        <f>SUM(C37:C50)</f>
        <v>14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2:16" ht="14.45" x14ac:dyDescent="0.3">
      <c r="B51" s="92">
        <v>174</v>
      </c>
      <c r="C51" s="96"/>
      <c r="D51" s="50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2:16" ht="14.45" x14ac:dyDescent="0.3">
      <c r="B52" s="92">
        <v>174</v>
      </c>
      <c r="C52" s="96"/>
      <c r="D52" s="50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2:16" ht="14.45" x14ac:dyDescent="0.3">
      <c r="B53" s="92">
        <v>174</v>
      </c>
      <c r="C53" s="96"/>
      <c r="D53" s="50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2:16" ht="14.45" x14ac:dyDescent="0.3">
      <c r="B54" s="92">
        <v>174</v>
      </c>
      <c r="C54" s="96">
        <v>4</v>
      </c>
      <c r="D54" s="50"/>
      <c r="E54" s="36"/>
      <c r="F54" s="36"/>
      <c r="G54" s="36"/>
      <c r="H54" s="36"/>
      <c r="I54" s="36"/>
      <c r="J54" s="36"/>
      <c r="K54" s="36" t="s">
        <v>204</v>
      </c>
      <c r="L54" s="36"/>
      <c r="M54" s="36"/>
      <c r="N54" s="36"/>
      <c r="O54" s="36"/>
    </row>
    <row r="55" spans="2:16" ht="14.45" x14ac:dyDescent="0.3">
      <c r="B55" s="92">
        <v>175</v>
      </c>
      <c r="C55" s="96"/>
      <c r="D55" s="50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2:16" ht="14.45" x14ac:dyDescent="0.3">
      <c r="B56" s="92">
        <v>175</v>
      </c>
      <c r="C56" s="96">
        <v>2</v>
      </c>
      <c r="D56" s="50"/>
      <c r="E56" s="36"/>
      <c r="F56" s="36"/>
      <c r="G56" s="36"/>
      <c r="H56" s="36"/>
      <c r="I56" s="36"/>
      <c r="J56" s="36"/>
      <c r="K56" s="36" t="s">
        <v>205</v>
      </c>
      <c r="L56" s="36"/>
      <c r="M56" s="36"/>
      <c r="N56" s="36"/>
      <c r="O56" s="36" t="s">
        <v>209</v>
      </c>
    </row>
    <row r="57" spans="2:16" ht="14.45" x14ac:dyDescent="0.3">
      <c r="B57" s="92">
        <v>176</v>
      </c>
      <c r="C57" s="96"/>
      <c r="D57" s="50"/>
      <c r="E57" s="36"/>
      <c r="F57" s="36"/>
      <c r="G57" s="36"/>
      <c r="H57" s="36"/>
      <c r="I57" s="36"/>
      <c r="J57" s="36"/>
      <c r="K57" s="36" t="s">
        <v>12</v>
      </c>
      <c r="L57" s="36"/>
      <c r="M57" s="36">
        <f>G15</f>
        <v>0</v>
      </c>
      <c r="N57" s="36"/>
      <c r="O57" s="36" t="s">
        <v>12</v>
      </c>
      <c r="P57">
        <f>G16</f>
        <v>0</v>
      </c>
    </row>
    <row r="58" spans="2:16" ht="14.45" x14ac:dyDescent="0.3">
      <c r="B58" s="92">
        <v>176</v>
      </c>
      <c r="C58" s="96">
        <v>2</v>
      </c>
      <c r="D58" s="50"/>
      <c r="E58" s="36"/>
      <c r="F58" s="36"/>
      <c r="G58" s="36"/>
      <c r="H58" s="36"/>
      <c r="I58" s="36"/>
      <c r="J58" s="36"/>
      <c r="K58" s="36" t="s">
        <v>13</v>
      </c>
      <c r="L58" s="36"/>
      <c r="M58" s="36">
        <f>H15</f>
        <v>0</v>
      </c>
      <c r="N58" s="36"/>
      <c r="O58" s="36" t="s">
        <v>13</v>
      </c>
      <c r="P58">
        <f>H16</f>
        <v>0</v>
      </c>
    </row>
    <row r="59" spans="2:16" ht="14.45" x14ac:dyDescent="0.3">
      <c r="B59" s="92">
        <v>177</v>
      </c>
      <c r="C59" s="96"/>
      <c r="D59" s="50"/>
      <c r="E59" s="36"/>
      <c r="F59" s="36"/>
      <c r="G59" s="36"/>
      <c r="H59" s="36"/>
      <c r="I59" s="36"/>
      <c r="J59" s="36"/>
      <c r="K59" s="36" t="s">
        <v>170</v>
      </c>
      <c r="L59" s="36"/>
      <c r="M59" s="36">
        <f>M58-M57</f>
        <v>0</v>
      </c>
      <c r="N59" s="36"/>
      <c r="O59" s="36" t="s">
        <v>170</v>
      </c>
      <c r="P59">
        <f>P58-P57</f>
        <v>0</v>
      </c>
    </row>
    <row r="60" spans="2:16" ht="14.45" x14ac:dyDescent="0.3">
      <c r="B60" s="92">
        <v>177</v>
      </c>
      <c r="C60" s="93">
        <v>2</v>
      </c>
      <c r="D60" s="50">
        <f>SUM(C51:C60)</f>
        <v>10</v>
      </c>
      <c r="E60" s="36"/>
      <c r="F60" s="36"/>
      <c r="G60" s="36"/>
      <c r="H60" s="36"/>
      <c r="I60" s="36"/>
      <c r="J60" s="36"/>
      <c r="K60" s="36" t="s">
        <v>206</v>
      </c>
      <c r="L60" s="36"/>
      <c r="M60" s="36">
        <f>I15</f>
        <v>0</v>
      </c>
      <c r="N60" s="36"/>
      <c r="O60" s="36" t="s">
        <v>206</v>
      </c>
      <c r="P60">
        <f>I16</f>
        <v>0</v>
      </c>
    </row>
    <row r="61" spans="2:16" ht="14.45" x14ac:dyDescent="0.3">
      <c r="B61" s="94">
        <v>178</v>
      </c>
      <c r="C61" s="99"/>
      <c r="D61" s="50"/>
      <c r="E61" s="36"/>
      <c r="F61" s="36"/>
      <c r="G61" s="36"/>
      <c r="H61" s="36"/>
      <c r="I61" s="36"/>
      <c r="J61" s="36"/>
      <c r="K61" s="36" t="s">
        <v>207</v>
      </c>
      <c r="L61" s="36"/>
      <c r="M61" s="36">
        <f>I14</f>
        <v>0</v>
      </c>
      <c r="N61" s="36"/>
      <c r="O61" s="36" t="s">
        <v>207</v>
      </c>
      <c r="P61">
        <f>I15</f>
        <v>0</v>
      </c>
    </row>
    <row r="62" spans="2:16" ht="14.45" x14ac:dyDescent="0.3">
      <c r="B62" s="94">
        <v>178</v>
      </c>
      <c r="C62" s="99"/>
      <c r="D62" s="50"/>
      <c r="E62" s="36"/>
      <c r="F62" s="36"/>
      <c r="G62" s="36"/>
      <c r="H62" s="36"/>
      <c r="I62" s="36"/>
      <c r="J62" s="36"/>
      <c r="K62" s="36" t="s">
        <v>208</v>
      </c>
      <c r="L62" s="36"/>
      <c r="M62" s="36">
        <f>I16</f>
        <v>0</v>
      </c>
      <c r="N62" s="36"/>
      <c r="O62" s="36" t="s">
        <v>208</v>
      </c>
      <c r="P62">
        <f>I17</f>
        <v>0</v>
      </c>
    </row>
    <row r="63" spans="2:16" ht="14.45" x14ac:dyDescent="0.3">
      <c r="B63" s="94">
        <v>178</v>
      </c>
      <c r="C63" s="99">
        <v>3</v>
      </c>
      <c r="D63" s="50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2:16" ht="14.45" x14ac:dyDescent="0.3">
      <c r="B64" s="94">
        <v>179</v>
      </c>
      <c r="C64" s="99"/>
      <c r="D64" s="50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2:21" ht="14.45" x14ac:dyDescent="0.3">
      <c r="B65" s="94">
        <v>179</v>
      </c>
      <c r="C65" s="99"/>
      <c r="D65" s="50"/>
      <c r="E65" s="36"/>
      <c r="F65" s="36"/>
      <c r="G65" s="36"/>
      <c r="H65" s="36"/>
      <c r="I65" s="36"/>
      <c r="J65" s="36"/>
      <c r="K65" s="36" t="s">
        <v>218</v>
      </c>
      <c r="L65" s="36"/>
      <c r="M65" s="36"/>
      <c r="N65" s="36"/>
      <c r="O65" s="36"/>
      <c r="R65" t="s">
        <v>218</v>
      </c>
    </row>
    <row r="66" spans="2:21" ht="14.45" x14ac:dyDescent="0.3">
      <c r="B66" s="94">
        <v>179</v>
      </c>
      <c r="C66" s="99">
        <v>3</v>
      </c>
      <c r="D66" s="50"/>
      <c r="E66" s="36"/>
      <c r="F66" s="36"/>
      <c r="G66" s="36"/>
      <c r="H66" s="36"/>
      <c r="I66" s="36"/>
      <c r="J66" s="36"/>
      <c r="K66" s="36"/>
      <c r="L66" s="36"/>
      <c r="M66" s="36"/>
      <c r="N66" s="37">
        <f>M60-M61</f>
        <v>0</v>
      </c>
      <c r="O66" s="36"/>
      <c r="T66">
        <f>P60-P61</f>
        <v>0</v>
      </c>
    </row>
    <row r="67" spans="2:21" ht="14.45" x14ac:dyDescent="0.3">
      <c r="B67" s="94">
        <v>180</v>
      </c>
      <c r="C67" s="104">
        <v>1</v>
      </c>
      <c r="D67" s="50">
        <f>SUM(C61:C67)</f>
        <v>7</v>
      </c>
      <c r="E67" s="36"/>
      <c r="F67" s="36"/>
      <c r="G67" s="36"/>
      <c r="H67" s="36"/>
      <c r="I67" s="36"/>
      <c r="J67" s="36"/>
      <c r="K67" s="36">
        <f>M57</f>
        <v>0</v>
      </c>
      <c r="L67" s="36"/>
      <c r="M67" s="36" t="s">
        <v>63</v>
      </c>
      <c r="N67" s="36">
        <f>(2*M60)-M61-M62</f>
        <v>0</v>
      </c>
      <c r="O67" s="36">
        <f>M59</f>
        <v>0</v>
      </c>
      <c r="R67">
        <f>P57</f>
        <v>0</v>
      </c>
      <c r="S67" t="s">
        <v>63</v>
      </c>
      <c r="T67">
        <f>(2*P60)-P61-P62</f>
        <v>0</v>
      </c>
      <c r="U67">
        <f>P59</f>
        <v>0</v>
      </c>
    </row>
    <row r="68" spans="2:21" ht="14.45" x14ac:dyDescent="0.3">
      <c r="B68" s="105">
        <v>182</v>
      </c>
      <c r="C68" s="106">
        <v>1</v>
      </c>
      <c r="D68" s="50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2:21" ht="14.45" x14ac:dyDescent="0.3">
      <c r="B69" s="105">
        <v>183</v>
      </c>
      <c r="C69" s="106"/>
      <c r="D69" s="50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2:21" ht="14.45" x14ac:dyDescent="0.3">
      <c r="B70" s="105">
        <v>183</v>
      </c>
      <c r="C70" s="106"/>
      <c r="D70" s="50"/>
      <c r="E70" s="36"/>
      <c r="F70" s="36"/>
      <c r="G70" s="36"/>
      <c r="H70" s="36"/>
      <c r="I70" s="36"/>
      <c r="J70" s="36"/>
      <c r="K70" s="36">
        <f>K67</f>
        <v>0</v>
      </c>
      <c r="L70" s="36"/>
      <c r="M70" s="36" t="s">
        <v>63</v>
      </c>
      <c r="N70" s="36" t="e">
        <f>(N66/N67)*O67</f>
        <v>#DIV/0!</v>
      </c>
      <c r="O70" s="36"/>
      <c r="R70">
        <f>R67</f>
        <v>0</v>
      </c>
      <c r="S70" t="s">
        <v>63</v>
      </c>
      <c r="T70" t="e">
        <f>(T66/T67)*U67</f>
        <v>#DIV/0!</v>
      </c>
    </row>
    <row r="71" spans="2:21" ht="14.45" x14ac:dyDescent="0.3">
      <c r="B71" s="105">
        <v>183</v>
      </c>
      <c r="C71" s="106">
        <v>3</v>
      </c>
      <c r="D71" s="50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2:21" ht="14.45" x14ac:dyDescent="0.3">
      <c r="B72" s="105">
        <v>184</v>
      </c>
      <c r="C72" s="106">
        <v>1</v>
      </c>
      <c r="D72" s="50"/>
      <c r="E72" s="36"/>
      <c r="F72" s="36"/>
      <c r="G72" s="36"/>
      <c r="H72" s="36"/>
      <c r="I72" s="36"/>
      <c r="J72" s="113" t="s">
        <v>217</v>
      </c>
      <c r="K72" s="113" t="e">
        <f>K70+N70</f>
        <v>#DIV/0!</v>
      </c>
      <c r="L72" s="113"/>
      <c r="M72" s="36"/>
      <c r="N72" s="36"/>
      <c r="O72" s="36"/>
      <c r="Q72" s="88" t="s">
        <v>217</v>
      </c>
      <c r="R72" s="88" t="e">
        <f>R70+T70</f>
        <v>#DIV/0!</v>
      </c>
    </row>
    <row r="73" spans="2:21" ht="14.45" x14ac:dyDescent="0.3">
      <c r="B73" s="105">
        <v>185</v>
      </c>
      <c r="C73" s="107">
        <v>1</v>
      </c>
      <c r="D73" s="50">
        <f>SUM(C68:C73)</f>
        <v>6</v>
      </c>
      <c r="E73" s="36"/>
      <c r="F73" s="36"/>
      <c r="G73" s="36"/>
      <c r="H73" s="36" t="s">
        <v>51</v>
      </c>
      <c r="I73" s="36"/>
      <c r="J73" s="36"/>
      <c r="K73" s="36"/>
      <c r="L73" s="36"/>
      <c r="M73" s="36"/>
      <c r="N73" s="36"/>
      <c r="O73" s="36"/>
    </row>
    <row r="74" spans="2:21" ht="18.75" x14ac:dyDescent="0.3">
      <c r="B74" s="108">
        <v>187</v>
      </c>
      <c r="C74" s="109">
        <v>1</v>
      </c>
      <c r="D74" s="50"/>
      <c r="E74" s="36"/>
      <c r="F74" s="127" t="s">
        <v>211</v>
      </c>
      <c r="G74" s="127"/>
      <c r="H74" s="127"/>
      <c r="I74" s="36"/>
      <c r="J74" s="36"/>
      <c r="K74" s="36"/>
      <c r="L74" s="36"/>
      <c r="M74" s="36"/>
      <c r="N74" s="36"/>
      <c r="O74" s="36"/>
    </row>
    <row r="75" spans="2:21" ht="14.45" x14ac:dyDescent="0.3">
      <c r="B75" s="108">
        <v>188</v>
      </c>
      <c r="C75" s="109">
        <v>1</v>
      </c>
      <c r="D75" s="50"/>
      <c r="E75" s="36"/>
      <c r="F75" s="83" t="s">
        <v>111</v>
      </c>
      <c r="G75" s="83" t="s">
        <v>19</v>
      </c>
      <c r="H75" s="83" t="s">
        <v>184</v>
      </c>
      <c r="I75" s="83" t="s">
        <v>185</v>
      </c>
      <c r="J75" s="83" t="s">
        <v>15</v>
      </c>
      <c r="K75" s="83" t="s">
        <v>186</v>
      </c>
      <c r="L75" s="36"/>
      <c r="M75" s="36"/>
      <c r="N75" s="36"/>
      <c r="O75" s="36"/>
    </row>
    <row r="76" spans="2:21" ht="14.45" x14ac:dyDescent="0.3">
      <c r="B76" s="108">
        <v>190</v>
      </c>
      <c r="C76" s="110">
        <v>1</v>
      </c>
      <c r="D76" s="50">
        <f>SUM(C74:C76)</f>
        <v>3</v>
      </c>
      <c r="E76" s="36"/>
      <c r="F76" s="61">
        <v>1</v>
      </c>
      <c r="G76" s="36">
        <f>M12</f>
        <v>0</v>
      </c>
      <c r="H76" s="36">
        <f>$I$73-G76</f>
        <v>0</v>
      </c>
      <c r="I76" s="36">
        <f>POWER(H76,2)</f>
        <v>0</v>
      </c>
      <c r="J76" s="36">
        <f>I12</f>
        <v>0</v>
      </c>
      <c r="K76" s="36">
        <f>J76*I76</f>
        <v>0</v>
      </c>
      <c r="L76" s="36"/>
      <c r="M76" s="36"/>
      <c r="N76" s="36"/>
      <c r="O76" s="36"/>
    </row>
    <row r="77" spans="2:21" ht="14.45" x14ac:dyDescent="0.3">
      <c r="B77" s="48"/>
      <c r="C77" s="48">
        <f>SUM(C2:C76)</f>
        <v>75</v>
      </c>
      <c r="D77" s="48"/>
      <c r="E77" s="36"/>
      <c r="F77" s="61">
        <f>F76+1</f>
        <v>2</v>
      </c>
      <c r="G77" s="36">
        <f t="shared" ref="G77:G84" si="5">M13</f>
        <v>0</v>
      </c>
      <c r="H77" s="36">
        <f t="shared" ref="H77:H79" si="6">$I$73-G77</f>
        <v>0</v>
      </c>
      <c r="I77" s="36">
        <f t="shared" ref="I77:I84" si="7">POWER(H77,2)</f>
        <v>0</v>
      </c>
      <c r="J77" s="36">
        <f t="shared" ref="J77:J84" si="8">I13</f>
        <v>0</v>
      </c>
      <c r="K77" s="36">
        <f t="shared" ref="K77:K84" si="9">J77*I77</f>
        <v>0</v>
      </c>
      <c r="L77" s="36"/>
      <c r="M77" s="36"/>
      <c r="N77" s="36"/>
      <c r="O77" s="36"/>
    </row>
    <row r="78" spans="2:21" ht="14.45" x14ac:dyDescent="0.3">
      <c r="B78" s="48"/>
      <c r="C78" s="48"/>
      <c r="D78" s="48"/>
      <c r="E78" s="36"/>
      <c r="F78" s="61">
        <f t="shared" ref="F78:F84" si="10">F77+1</f>
        <v>3</v>
      </c>
      <c r="G78" s="36">
        <f t="shared" si="5"/>
        <v>0</v>
      </c>
      <c r="H78" s="36">
        <f t="shared" si="6"/>
        <v>0</v>
      </c>
      <c r="I78" s="36">
        <f t="shared" si="7"/>
        <v>0</v>
      </c>
      <c r="J78" s="36">
        <f t="shared" si="8"/>
        <v>0</v>
      </c>
      <c r="K78" s="36">
        <f t="shared" si="9"/>
        <v>0</v>
      </c>
      <c r="L78" s="36"/>
      <c r="M78" s="36"/>
      <c r="N78" s="36"/>
      <c r="O78" s="36"/>
    </row>
    <row r="79" spans="2:21" x14ac:dyDescent="0.25">
      <c r="E79" s="36"/>
      <c r="F79" s="61">
        <f t="shared" si="10"/>
        <v>4</v>
      </c>
      <c r="G79" s="36">
        <f t="shared" si="5"/>
        <v>0</v>
      </c>
      <c r="H79" s="36">
        <f t="shared" si="6"/>
        <v>0</v>
      </c>
      <c r="I79" s="36">
        <f t="shared" si="7"/>
        <v>0</v>
      </c>
      <c r="J79" s="36">
        <f t="shared" si="8"/>
        <v>0</v>
      </c>
      <c r="K79" s="36">
        <f t="shared" si="9"/>
        <v>0</v>
      </c>
      <c r="L79" s="36"/>
      <c r="M79" s="36"/>
      <c r="N79" s="36"/>
      <c r="O79" s="36"/>
    </row>
    <row r="80" spans="2:21" x14ac:dyDescent="0.25">
      <c r="E80" s="36"/>
      <c r="F80" s="61">
        <f t="shared" si="10"/>
        <v>5</v>
      </c>
      <c r="G80" s="36">
        <f t="shared" si="5"/>
        <v>0</v>
      </c>
      <c r="H80" s="36">
        <f>G80-I73</f>
        <v>0</v>
      </c>
      <c r="I80" s="36">
        <f t="shared" si="7"/>
        <v>0</v>
      </c>
      <c r="J80" s="36">
        <f t="shared" si="8"/>
        <v>0</v>
      </c>
      <c r="K80" s="36">
        <f t="shared" si="9"/>
        <v>0</v>
      </c>
      <c r="L80" s="36"/>
      <c r="M80" s="36"/>
      <c r="N80" s="36"/>
      <c r="O80" s="36"/>
    </row>
    <row r="81" spans="5:15" x14ac:dyDescent="0.25">
      <c r="E81" s="36"/>
      <c r="F81" s="61">
        <f t="shared" si="10"/>
        <v>6</v>
      </c>
      <c r="G81" s="36">
        <f t="shared" si="5"/>
        <v>0</v>
      </c>
      <c r="H81" s="36">
        <f>G81-$I$73</f>
        <v>0</v>
      </c>
      <c r="I81" s="36">
        <f t="shared" si="7"/>
        <v>0</v>
      </c>
      <c r="J81" s="36">
        <f t="shared" si="8"/>
        <v>0</v>
      </c>
      <c r="K81" s="36">
        <f t="shared" si="9"/>
        <v>0</v>
      </c>
      <c r="L81" s="36"/>
      <c r="M81" s="36"/>
      <c r="N81" s="36"/>
      <c r="O81" s="36"/>
    </row>
    <row r="82" spans="5:15" x14ac:dyDescent="0.25">
      <c r="E82" s="36"/>
      <c r="F82" s="61">
        <f t="shared" si="10"/>
        <v>7</v>
      </c>
      <c r="G82" s="36">
        <f t="shared" si="5"/>
        <v>0</v>
      </c>
      <c r="H82" s="36">
        <f t="shared" ref="H82:H84" si="11">G82-$I$73</f>
        <v>0</v>
      </c>
      <c r="I82" s="36">
        <f t="shared" si="7"/>
        <v>0</v>
      </c>
      <c r="J82" s="36">
        <f t="shared" si="8"/>
        <v>0</v>
      </c>
      <c r="K82" s="36">
        <f t="shared" si="9"/>
        <v>0</v>
      </c>
      <c r="L82" s="36"/>
      <c r="M82" s="36"/>
      <c r="N82" s="36"/>
      <c r="O82" s="36"/>
    </row>
    <row r="83" spans="5:15" x14ac:dyDescent="0.25">
      <c r="E83" s="36"/>
      <c r="F83" s="61">
        <f t="shared" si="10"/>
        <v>8</v>
      </c>
      <c r="G83" s="36">
        <f t="shared" si="5"/>
        <v>0</v>
      </c>
      <c r="H83" s="36">
        <f t="shared" si="11"/>
        <v>0</v>
      </c>
      <c r="I83" s="36">
        <f t="shared" si="7"/>
        <v>0</v>
      </c>
      <c r="J83" s="36">
        <f t="shared" si="8"/>
        <v>0</v>
      </c>
      <c r="K83" s="36">
        <f t="shared" si="9"/>
        <v>0</v>
      </c>
      <c r="L83" s="36"/>
      <c r="M83" s="36"/>
      <c r="N83" s="36"/>
      <c r="O83" s="36"/>
    </row>
    <row r="84" spans="5:15" x14ac:dyDescent="0.25">
      <c r="E84" s="36"/>
      <c r="F84" s="61">
        <f t="shared" si="10"/>
        <v>9</v>
      </c>
      <c r="G84" s="36">
        <f t="shared" si="5"/>
        <v>0</v>
      </c>
      <c r="H84" s="36">
        <f t="shared" si="11"/>
        <v>0</v>
      </c>
      <c r="I84" s="36">
        <f t="shared" si="7"/>
        <v>0</v>
      </c>
      <c r="J84" s="36">
        <f t="shared" si="8"/>
        <v>0</v>
      </c>
      <c r="K84" s="36">
        <f t="shared" si="9"/>
        <v>0</v>
      </c>
      <c r="L84" s="36"/>
      <c r="M84" s="36"/>
      <c r="N84" s="36"/>
      <c r="O84" s="36"/>
    </row>
    <row r="85" spans="5:15" x14ac:dyDescent="0.25"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5:15" x14ac:dyDescent="0.25">
      <c r="E86" s="36"/>
      <c r="F86" s="36"/>
      <c r="G86" s="36"/>
      <c r="H86" s="36"/>
      <c r="I86" s="36"/>
      <c r="J86" s="36" t="s">
        <v>212</v>
      </c>
      <c r="K86" s="36">
        <f>SUM(K76:K84)</f>
        <v>0</v>
      </c>
      <c r="L86" s="36"/>
      <c r="M86" s="36"/>
      <c r="N86" s="36"/>
      <c r="O86" s="36"/>
    </row>
    <row r="87" spans="5:15" x14ac:dyDescent="0.25">
      <c r="E87" s="36"/>
      <c r="F87" s="36"/>
      <c r="G87" s="36"/>
      <c r="H87" s="36"/>
      <c r="I87" s="36"/>
      <c r="J87" s="36" t="s">
        <v>213</v>
      </c>
      <c r="K87" s="36"/>
      <c r="L87" s="36"/>
      <c r="M87" s="36"/>
      <c r="N87" s="36"/>
      <c r="O87" s="36"/>
    </row>
    <row r="88" spans="5:15" x14ac:dyDescent="0.25">
      <c r="E88" s="36"/>
      <c r="F88" s="36"/>
      <c r="G88" s="36"/>
      <c r="H88" s="36"/>
      <c r="I88" s="36"/>
      <c r="J88" s="36" t="s">
        <v>215</v>
      </c>
      <c r="K88" s="52" t="e">
        <f>K86/K87</f>
        <v>#DIV/0!</v>
      </c>
      <c r="L88" s="36"/>
      <c r="M88" s="36"/>
      <c r="N88" s="36"/>
      <c r="O88" s="36"/>
    </row>
    <row r="89" spans="5:15" x14ac:dyDescent="0.25">
      <c r="E89" s="36"/>
      <c r="F89" s="36"/>
      <c r="G89" s="36"/>
      <c r="H89" s="36"/>
      <c r="I89" s="36"/>
      <c r="J89" s="36" t="s">
        <v>216</v>
      </c>
      <c r="K89" s="36" t="e">
        <f>SQRT(K88)</f>
        <v>#DIV/0!</v>
      </c>
      <c r="L89" s="52" t="e">
        <f>POWER(K89,2)</f>
        <v>#DIV/0!</v>
      </c>
      <c r="M89" s="36"/>
      <c r="N89" s="36"/>
      <c r="O89" s="36"/>
    </row>
    <row r="90" spans="5:15" x14ac:dyDescent="0.25">
      <c r="E90" s="36"/>
      <c r="F90" s="36" t="s">
        <v>146</v>
      </c>
      <c r="G90" s="36"/>
      <c r="H90" s="36"/>
      <c r="I90" s="36"/>
      <c r="J90" s="36"/>
      <c r="K90" s="36"/>
      <c r="L90" s="36"/>
      <c r="M90" s="36"/>
      <c r="N90" s="36"/>
      <c r="O90" s="36"/>
    </row>
    <row r="91" spans="5:15" x14ac:dyDescent="0.25">
      <c r="E91" s="36"/>
      <c r="F91" s="83" t="s">
        <v>111</v>
      </c>
      <c r="G91" s="83" t="s">
        <v>184</v>
      </c>
      <c r="H91" s="14" t="s">
        <v>188</v>
      </c>
      <c r="I91" s="36"/>
      <c r="J91" s="36" t="s">
        <v>214</v>
      </c>
      <c r="K91" s="36"/>
      <c r="L91" s="36"/>
      <c r="M91" s="36"/>
      <c r="N91" s="36"/>
      <c r="O91" s="36"/>
    </row>
    <row r="92" spans="5:15" x14ac:dyDescent="0.25">
      <c r="E92" s="36"/>
      <c r="F92" s="61">
        <v>1</v>
      </c>
      <c r="G92" s="36">
        <f>H76</f>
        <v>0</v>
      </c>
      <c r="H92" s="36">
        <f>I12</f>
        <v>0</v>
      </c>
      <c r="I92" s="36"/>
      <c r="J92" s="36">
        <f>H92*G92</f>
        <v>0</v>
      </c>
      <c r="K92" s="36"/>
      <c r="L92" s="36"/>
      <c r="M92" s="36"/>
      <c r="N92" s="36"/>
      <c r="O92" s="36"/>
    </row>
    <row r="93" spans="5:15" x14ac:dyDescent="0.25">
      <c r="E93" s="36"/>
      <c r="F93" s="61">
        <f>F92+1</f>
        <v>2</v>
      </c>
      <c r="G93" s="36">
        <f t="shared" ref="G93:G100" si="12">H77</f>
        <v>0</v>
      </c>
      <c r="H93" s="36">
        <f t="shared" ref="H93:H100" si="13">I13</f>
        <v>0</v>
      </c>
      <c r="I93" s="36"/>
      <c r="J93" s="36">
        <f t="shared" ref="J93:J100" si="14">H93*G93</f>
        <v>0</v>
      </c>
      <c r="K93" s="36"/>
      <c r="L93" s="36"/>
      <c r="M93" s="36"/>
      <c r="N93" s="36"/>
      <c r="O93" s="36"/>
    </row>
    <row r="94" spans="5:15" x14ac:dyDescent="0.25">
      <c r="E94" s="36"/>
      <c r="F94" s="61">
        <f t="shared" ref="F94:F100" si="15">F93+1</f>
        <v>3</v>
      </c>
      <c r="G94" s="36">
        <f t="shared" si="12"/>
        <v>0</v>
      </c>
      <c r="H94" s="36">
        <f t="shared" si="13"/>
        <v>0</v>
      </c>
      <c r="I94" s="36"/>
      <c r="J94" s="36">
        <f t="shared" si="14"/>
        <v>0</v>
      </c>
      <c r="K94" s="36"/>
      <c r="L94" s="36"/>
      <c r="M94" s="36"/>
      <c r="N94" s="36"/>
      <c r="O94" s="36"/>
    </row>
    <row r="95" spans="5:15" x14ac:dyDescent="0.25">
      <c r="E95" s="36"/>
      <c r="F95" s="61">
        <f t="shared" si="15"/>
        <v>4</v>
      </c>
      <c r="G95" s="36">
        <f t="shared" si="12"/>
        <v>0</v>
      </c>
      <c r="H95" s="36">
        <f t="shared" si="13"/>
        <v>0</v>
      </c>
      <c r="I95" s="36"/>
      <c r="J95" s="36">
        <f t="shared" si="14"/>
        <v>0</v>
      </c>
      <c r="K95" s="36"/>
      <c r="L95" s="36"/>
      <c r="M95" s="36"/>
      <c r="N95" s="36"/>
      <c r="O95" s="36"/>
    </row>
    <row r="96" spans="5:15" x14ac:dyDescent="0.25">
      <c r="E96" s="36"/>
      <c r="F96" s="61">
        <f t="shared" si="15"/>
        <v>5</v>
      </c>
      <c r="G96" s="36">
        <f t="shared" si="12"/>
        <v>0</v>
      </c>
      <c r="H96" s="36">
        <f t="shared" si="13"/>
        <v>0</v>
      </c>
      <c r="I96" s="36"/>
      <c r="J96" s="36">
        <f t="shared" si="14"/>
        <v>0</v>
      </c>
      <c r="K96" s="36"/>
      <c r="L96" s="36"/>
      <c r="M96" s="36"/>
      <c r="N96" s="36"/>
      <c r="O96" s="36"/>
    </row>
    <row r="97" spans="5:15" x14ac:dyDescent="0.25">
      <c r="E97" s="36"/>
      <c r="F97" s="61">
        <f t="shared" si="15"/>
        <v>6</v>
      </c>
      <c r="G97" s="36">
        <f t="shared" si="12"/>
        <v>0</v>
      </c>
      <c r="H97" s="36">
        <f t="shared" si="13"/>
        <v>0</v>
      </c>
      <c r="I97" s="36"/>
      <c r="J97" s="36">
        <f t="shared" si="14"/>
        <v>0</v>
      </c>
      <c r="K97" s="36"/>
      <c r="L97" s="36"/>
      <c r="M97" s="36"/>
      <c r="N97" s="36"/>
      <c r="O97" s="36"/>
    </row>
    <row r="98" spans="5:15" x14ac:dyDescent="0.25">
      <c r="E98" s="36"/>
      <c r="F98" s="61">
        <f t="shared" si="15"/>
        <v>7</v>
      </c>
      <c r="G98" s="36">
        <f t="shared" si="12"/>
        <v>0</v>
      </c>
      <c r="H98" s="36">
        <f t="shared" si="13"/>
        <v>0</v>
      </c>
      <c r="I98" s="36"/>
      <c r="J98" s="36">
        <f t="shared" si="14"/>
        <v>0</v>
      </c>
      <c r="K98" s="36"/>
      <c r="L98" s="36"/>
      <c r="M98" s="36"/>
      <c r="N98" s="36"/>
      <c r="O98" s="36"/>
    </row>
    <row r="99" spans="5:15" x14ac:dyDescent="0.25">
      <c r="E99" s="36"/>
      <c r="F99" s="61">
        <f t="shared" si="15"/>
        <v>8</v>
      </c>
      <c r="G99" s="36">
        <f t="shared" si="12"/>
        <v>0</v>
      </c>
      <c r="H99" s="36">
        <f t="shared" si="13"/>
        <v>0</v>
      </c>
      <c r="I99" s="36"/>
      <c r="J99" s="36">
        <f t="shared" si="14"/>
        <v>0</v>
      </c>
      <c r="K99" s="36"/>
      <c r="L99" s="36"/>
      <c r="M99" s="36"/>
      <c r="N99" s="36"/>
      <c r="O99" s="36"/>
    </row>
    <row r="100" spans="5:15" x14ac:dyDescent="0.25">
      <c r="E100" s="36"/>
      <c r="F100" s="61">
        <f t="shared" si="15"/>
        <v>9</v>
      </c>
      <c r="G100" s="36">
        <f t="shared" si="12"/>
        <v>0</v>
      </c>
      <c r="H100" s="36">
        <f t="shared" si="13"/>
        <v>0</v>
      </c>
      <c r="I100" s="36"/>
      <c r="J100" s="36">
        <f t="shared" si="14"/>
        <v>0</v>
      </c>
      <c r="K100" s="36"/>
      <c r="L100" s="36"/>
      <c r="M100" s="36"/>
      <c r="N100" s="36"/>
      <c r="O100" s="36"/>
    </row>
    <row r="101" spans="5:15" x14ac:dyDescent="0.25">
      <c r="E101" s="36"/>
      <c r="F101" s="36"/>
      <c r="G101" s="36"/>
      <c r="H101" s="36"/>
      <c r="I101" s="36" t="s">
        <v>212</v>
      </c>
      <c r="J101" s="36">
        <f>SUM(J92:J100)</f>
        <v>0</v>
      </c>
      <c r="K101" s="36"/>
      <c r="L101" s="36"/>
      <c r="M101" s="36"/>
      <c r="N101" s="36"/>
      <c r="O101" s="36"/>
    </row>
    <row r="102" spans="5:15" x14ac:dyDescent="0.25">
      <c r="E102" s="36"/>
      <c r="F102" s="36"/>
      <c r="G102" s="36"/>
      <c r="H102" s="36"/>
      <c r="I102" s="36" t="s">
        <v>213</v>
      </c>
      <c r="J102" s="36">
        <v>75</v>
      </c>
      <c r="K102" s="36"/>
      <c r="L102" s="36"/>
      <c r="M102" s="36"/>
      <c r="N102" s="36"/>
      <c r="O102" s="36"/>
    </row>
    <row r="103" spans="5:15" x14ac:dyDescent="0.25">
      <c r="E103" s="36"/>
      <c r="F103" s="36"/>
      <c r="G103" s="36"/>
      <c r="H103" s="36"/>
      <c r="I103" s="36"/>
      <c r="J103" s="36">
        <f>J101/J102</f>
        <v>0</v>
      </c>
      <c r="K103" s="36"/>
      <c r="L103" s="36"/>
      <c r="M103" s="36"/>
      <c r="N103" s="36"/>
      <c r="O103" s="36"/>
    </row>
    <row r="104" spans="5:15" x14ac:dyDescent="0.25">
      <c r="E104" s="36"/>
      <c r="F104" s="36" t="s">
        <v>192</v>
      </c>
      <c r="G104" s="36">
        <f>H20</f>
        <v>0</v>
      </c>
      <c r="H104" s="36" t="s">
        <v>21</v>
      </c>
      <c r="I104" s="36">
        <f>G12</f>
        <v>0</v>
      </c>
      <c r="J104" s="36" t="s">
        <v>14</v>
      </c>
      <c r="K104" s="36">
        <f>G104-I104</f>
        <v>0</v>
      </c>
      <c r="L104" s="36"/>
      <c r="M104" s="36"/>
      <c r="N104" s="36"/>
      <c r="O104" s="36"/>
    </row>
    <row r="105" spans="5:15" x14ac:dyDescent="0.25"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</row>
    <row r="106" spans="5:15" x14ac:dyDescent="0.25"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</row>
    <row r="107" spans="5:15" x14ac:dyDescent="0.25"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</row>
    <row r="108" spans="5:15" x14ac:dyDescent="0.25"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</row>
    <row r="109" spans="5:15" x14ac:dyDescent="0.25"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</row>
    <row r="110" spans="5:15" x14ac:dyDescent="0.25"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</row>
    <row r="111" spans="5:15" x14ac:dyDescent="0.25"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</row>
    <row r="112" spans="5:15" x14ac:dyDescent="0.25"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</row>
    <row r="113" spans="5:15" x14ac:dyDescent="0.25"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</row>
    <row r="114" spans="5:15" x14ac:dyDescent="0.25"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</row>
    <row r="115" spans="5:15" x14ac:dyDescent="0.25"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</row>
    <row r="116" spans="5:15" x14ac:dyDescent="0.25"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</row>
    <row r="117" spans="5:15" x14ac:dyDescent="0.25"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</row>
    <row r="118" spans="5:15" x14ac:dyDescent="0.25"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</row>
    <row r="119" spans="5:15" x14ac:dyDescent="0.25"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</row>
    <row r="120" spans="5:15" x14ac:dyDescent="0.25"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</row>
    <row r="121" spans="5:15" x14ac:dyDescent="0.25"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</row>
    <row r="122" spans="5:15" x14ac:dyDescent="0.25"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</row>
    <row r="123" spans="5:15" x14ac:dyDescent="0.25"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</row>
    <row r="124" spans="5:15" x14ac:dyDescent="0.25"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5:15" x14ac:dyDescent="0.25"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</row>
    <row r="126" spans="5:15" x14ac:dyDescent="0.25"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</row>
    <row r="127" spans="5:15" x14ac:dyDescent="0.25"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</row>
    <row r="128" spans="5:15" x14ac:dyDescent="0.25"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</row>
    <row r="129" spans="5:15" x14ac:dyDescent="0.25"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</row>
    <row r="130" spans="5:15" x14ac:dyDescent="0.25"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</row>
    <row r="131" spans="5:15" x14ac:dyDescent="0.25"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</row>
    <row r="132" spans="5:15" x14ac:dyDescent="0.25"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</row>
    <row r="133" spans="5:15" x14ac:dyDescent="0.25"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</row>
    <row r="134" spans="5:15" x14ac:dyDescent="0.25"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</row>
    <row r="135" spans="5:15" x14ac:dyDescent="0.25"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</row>
    <row r="136" spans="5:15" x14ac:dyDescent="0.25"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</row>
    <row r="137" spans="5:15" x14ac:dyDescent="0.25"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</row>
    <row r="138" spans="5:15" x14ac:dyDescent="0.25"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</row>
    <row r="139" spans="5:15" x14ac:dyDescent="0.25"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</row>
    <row r="140" spans="5:15" x14ac:dyDescent="0.25"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</row>
    <row r="141" spans="5:15" x14ac:dyDescent="0.25"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</row>
    <row r="142" spans="5:15" x14ac:dyDescent="0.25"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</row>
    <row r="143" spans="5:15" x14ac:dyDescent="0.25"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</row>
    <row r="144" spans="5:15" x14ac:dyDescent="0.25"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</row>
    <row r="145" spans="5:15" x14ac:dyDescent="0.25"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</row>
    <row r="146" spans="5:15" x14ac:dyDescent="0.25"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</row>
    <row r="147" spans="5:15" x14ac:dyDescent="0.25"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</row>
    <row r="148" spans="5:15" x14ac:dyDescent="0.25"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</row>
  </sheetData>
  <sortState ref="B2:B76">
    <sortCondition ref="B2"/>
  </sortState>
  <mergeCells count="2">
    <mergeCell ref="F23:M23"/>
    <mergeCell ref="F74:H7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8"/>
  <sheetViews>
    <sheetView topLeftCell="A46" zoomScale="90" zoomScaleNormal="90" workbookViewId="0">
      <selection activeCell="I78" sqref="I78"/>
    </sheetView>
  </sheetViews>
  <sheetFormatPr baseColWidth="10" defaultRowHeight="15" x14ac:dyDescent="0.25"/>
  <sheetData>
    <row r="1" spans="1:16" ht="23.25" x14ac:dyDescent="0.35">
      <c r="A1" s="14"/>
      <c r="B1" s="14"/>
      <c r="C1" s="14"/>
      <c r="D1" s="14"/>
      <c r="E1" s="123" t="s">
        <v>37</v>
      </c>
      <c r="F1" s="123"/>
      <c r="G1" s="123"/>
      <c r="H1" s="123"/>
      <c r="I1" s="123"/>
      <c r="J1" s="26" t="s">
        <v>48</v>
      </c>
      <c r="K1" s="27" t="s">
        <v>21</v>
      </c>
      <c r="L1" s="14"/>
      <c r="M1" s="14"/>
      <c r="N1" s="14"/>
      <c r="O1" s="14"/>
    </row>
    <row r="2" spans="1:16" ht="23.45" x14ac:dyDescent="0.45">
      <c r="A2" s="14"/>
      <c r="B2" s="14"/>
      <c r="C2" s="14"/>
      <c r="D2" s="14"/>
      <c r="E2" s="14"/>
      <c r="F2" s="14"/>
      <c r="G2" s="14"/>
      <c r="H2" s="14"/>
      <c r="I2" s="14"/>
      <c r="J2" s="16"/>
      <c r="K2" s="27" t="s">
        <v>33</v>
      </c>
      <c r="L2" s="14"/>
      <c r="M2" s="14"/>
      <c r="N2" s="14"/>
      <c r="O2" s="14"/>
    </row>
    <row r="3" spans="1:16" ht="14.45" x14ac:dyDescent="0.3">
      <c r="A3" s="14"/>
      <c r="B3" s="17" t="s">
        <v>21</v>
      </c>
      <c r="C3" s="14" t="s">
        <v>14</v>
      </c>
      <c r="D3" s="14"/>
      <c r="E3" s="14"/>
      <c r="F3" s="14"/>
      <c r="G3" s="14"/>
      <c r="H3" s="14"/>
      <c r="I3" s="14"/>
      <c r="J3" s="14"/>
      <c r="K3" s="14"/>
      <c r="L3" s="14"/>
      <c r="M3" s="14">
        <v>1</v>
      </c>
      <c r="N3" s="14">
        <v>5</v>
      </c>
      <c r="O3" s="14"/>
    </row>
    <row r="4" spans="1:16" ht="14.45" x14ac:dyDescent="0.3">
      <c r="A4" s="14"/>
      <c r="B4" s="17" t="s">
        <v>33</v>
      </c>
      <c r="C4" s="14"/>
      <c r="D4" s="30"/>
      <c r="E4" s="30"/>
      <c r="F4" s="30"/>
      <c r="G4" s="30"/>
      <c r="H4" s="30"/>
      <c r="I4" s="30"/>
      <c r="J4" s="14" t="s">
        <v>34</v>
      </c>
      <c r="K4" s="14" t="s">
        <v>35</v>
      </c>
      <c r="L4" s="14"/>
      <c r="M4" s="14">
        <f>M3+1</f>
        <v>2</v>
      </c>
      <c r="N4" s="14">
        <v>6</v>
      </c>
      <c r="O4" s="14"/>
    </row>
    <row r="5" spans="1:16" ht="14.45" x14ac:dyDescent="0.3">
      <c r="A5" s="14"/>
      <c r="B5" s="14"/>
      <c r="C5" s="14"/>
      <c r="D5" s="31">
        <v>7</v>
      </c>
      <c r="E5" s="31">
        <v>7.5</v>
      </c>
      <c r="F5" s="31">
        <v>8</v>
      </c>
      <c r="G5" s="31">
        <v>9.5</v>
      </c>
      <c r="H5" s="30">
        <v>10</v>
      </c>
      <c r="I5" s="30">
        <v>10</v>
      </c>
      <c r="J5" s="14"/>
      <c r="K5" s="14"/>
      <c r="L5" s="14"/>
      <c r="M5" s="14">
        <f t="shared" ref="M5:M19" si="0">M4+1</f>
        <v>3</v>
      </c>
      <c r="N5" s="14">
        <v>6.5</v>
      </c>
      <c r="O5" s="14"/>
    </row>
    <row r="6" spans="1:16" ht="14.45" x14ac:dyDescent="0.3">
      <c r="A6" s="14"/>
      <c r="B6" s="14"/>
      <c r="C6" s="14"/>
      <c r="D6" s="31">
        <v>7.5</v>
      </c>
      <c r="E6" s="31">
        <v>6</v>
      </c>
      <c r="F6" s="31">
        <v>9.5</v>
      </c>
      <c r="G6" s="30">
        <v>10</v>
      </c>
      <c r="H6" s="31">
        <v>6.5</v>
      </c>
      <c r="I6" s="31">
        <v>8</v>
      </c>
      <c r="J6" s="14"/>
      <c r="K6" s="14"/>
      <c r="L6" s="14"/>
      <c r="M6" s="14">
        <f t="shared" si="0"/>
        <v>4</v>
      </c>
      <c r="N6" s="14">
        <v>7</v>
      </c>
      <c r="O6" s="14"/>
    </row>
    <row r="7" spans="1:16" ht="14.45" x14ac:dyDescent="0.3">
      <c r="A7" s="14"/>
      <c r="B7" s="14"/>
      <c r="C7" s="14"/>
      <c r="D7" s="31">
        <v>7</v>
      </c>
      <c r="E7" s="31">
        <v>8</v>
      </c>
      <c r="F7" s="31">
        <v>9.5</v>
      </c>
      <c r="G7" s="31">
        <v>5</v>
      </c>
      <c r="H7" s="31">
        <v>8</v>
      </c>
      <c r="I7" s="31">
        <v>7.5</v>
      </c>
      <c r="J7" s="14"/>
      <c r="K7" s="14"/>
      <c r="L7" s="14"/>
      <c r="M7" s="14">
        <f t="shared" si="0"/>
        <v>5</v>
      </c>
      <c r="N7" s="14">
        <v>7</v>
      </c>
      <c r="O7" s="14"/>
    </row>
    <row r="8" spans="1:16" ht="14.45" x14ac:dyDescent="0.3">
      <c r="A8" s="14"/>
      <c r="B8" s="14"/>
      <c r="C8" s="14"/>
      <c r="D8" s="14">
        <f t="shared" ref="D8:I8" si="1">SUM(D5:D7)</f>
        <v>21.5</v>
      </c>
      <c r="E8" s="14">
        <f t="shared" si="1"/>
        <v>21.5</v>
      </c>
      <c r="F8" s="14">
        <f t="shared" si="1"/>
        <v>27</v>
      </c>
      <c r="G8" s="14">
        <f t="shared" si="1"/>
        <v>24.5</v>
      </c>
      <c r="H8" s="14">
        <f t="shared" si="1"/>
        <v>24.5</v>
      </c>
      <c r="I8" s="14">
        <f t="shared" si="1"/>
        <v>25.5</v>
      </c>
      <c r="J8" s="15">
        <f>SUM(D8:I8)</f>
        <v>144.5</v>
      </c>
      <c r="K8" s="29">
        <f>J8/J9</f>
        <v>8.0277777777777786</v>
      </c>
      <c r="L8" s="14"/>
      <c r="M8" s="14">
        <f t="shared" si="0"/>
        <v>6</v>
      </c>
      <c r="N8" s="14">
        <v>7.5</v>
      </c>
      <c r="O8" s="14"/>
    </row>
    <row r="9" spans="1:16" ht="14.45" x14ac:dyDescent="0.3">
      <c r="A9" s="14"/>
      <c r="B9" s="14"/>
      <c r="C9" s="14"/>
      <c r="D9" s="14"/>
      <c r="E9" s="14"/>
      <c r="F9" s="14"/>
      <c r="G9" s="14"/>
      <c r="H9" s="14"/>
      <c r="I9" s="14"/>
      <c r="J9" s="14">
        <v>18</v>
      </c>
      <c r="K9" s="14"/>
      <c r="L9" s="14"/>
      <c r="M9" s="14">
        <f t="shared" si="0"/>
        <v>7</v>
      </c>
      <c r="N9" s="14">
        <v>7.5</v>
      </c>
      <c r="O9" s="14"/>
    </row>
    <row r="10" spans="1:16" ht="14.4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>
        <f t="shared" si="0"/>
        <v>8</v>
      </c>
      <c r="N10" s="14">
        <v>7.5</v>
      </c>
      <c r="O10" s="14"/>
    </row>
    <row r="11" spans="1:16" ht="14.45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>
        <f t="shared" si="0"/>
        <v>9</v>
      </c>
      <c r="N11" s="14">
        <v>8</v>
      </c>
      <c r="O11" s="14"/>
      <c r="P11">
        <v>8</v>
      </c>
    </row>
    <row r="12" spans="1:16" ht="18" x14ac:dyDescent="0.35">
      <c r="A12" s="14"/>
      <c r="B12" s="14"/>
      <c r="C12" s="14"/>
      <c r="D12" s="123" t="s">
        <v>36</v>
      </c>
      <c r="E12" s="123"/>
      <c r="F12" s="123"/>
      <c r="G12" s="123"/>
      <c r="H12" s="123"/>
      <c r="I12" s="123"/>
      <c r="J12" s="26" t="s">
        <v>49</v>
      </c>
      <c r="K12" s="16"/>
      <c r="L12" s="14"/>
      <c r="M12" s="14">
        <f t="shared" si="0"/>
        <v>10</v>
      </c>
      <c r="N12" s="14">
        <v>8</v>
      </c>
      <c r="O12" s="14"/>
    </row>
    <row r="13" spans="1:16" ht="14.45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>
        <f t="shared" si="0"/>
        <v>11</v>
      </c>
      <c r="N13" s="14">
        <v>8</v>
      </c>
      <c r="O13" s="14"/>
    </row>
    <row r="14" spans="1:16" ht="14.45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>
        <f t="shared" si="0"/>
        <v>12</v>
      </c>
      <c r="N14" s="14">
        <v>8</v>
      </c>
      <c r="O14" s="14"/>
    </row>
    <row r="15" spans="1:16" ht="14.45" x14ac:dyDescent="0.3">
      <c r="A15" s="18">
        <v>5</v>
      </c>
      <c r="B15" s="18">
        <v>4</v>
      </c>
      <c r="C15" s="18">
        <v>3</v>
      </c>
      <c r="D15" s="18">
        <v>5</v>
      </c>
      <c r="E15" s="18">
        <v>6</v>
      </c>
      <c r="F15" s="18">
        <v>7</v>
      </c>
      <c r="G15" s="18">
        <v>1</v>
      </c>
      <c r="H15" s="18">
        <v>2</v>
      </c>
      <c r="I15" s="18">
        <v>9</v>
      </c>
      <c r="J15" s="18">
        <v>8</v>
      </c>
      <c r="K15" s="18">
        <v>6</v>
      </c>
      <c r="L15" s="14"/>
      <c r="M15" s="14">
        <f t="shared" si="0"/>
        <v>13</v>
      </c>
      <c r="N15" s="14">
        <v>9.5</v>
      </c>
      <c r="O15" s="14"/>
    </row>
    <row r="16" spans="1:16" ht="14.45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>
        <f t="shared" si="0"/>
        <v>14</v>
      </c>
      <c r="N16" s="14">
        <v>9.5</v>
      </c>
      <c r="O16" s="14"/>
    </row>
    <row r="17" spans="1:15" ht="14.45" x14ac:dyDescent="0.3">
      <c r="A17" s="14" t="s">
        <v>38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>
        <f t="shared" si="0"/>
        <v>15</v>
      </c>
      <c r="N17" s="14">
        <v>9.5</v>
      </c>
      <c r="O17" s="14"/>
    </row>
    <row r="18" spans="1:15" ht="14.45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>
        <f t="shared" si="0"/>
        <v>16</v>
      </c>
      <c r="N18" s="14">
        <v>10</v>
      </c>
      <c r="O18" s="14"/>
    </row>
    <row r="19" spans="1:15" ht="14.45" x14ac:dyDescent="0.3">
      <c r="A19" s="14"/>
      <c r="B19" s="14">
        <v>1</v>
      </c>
      <c r="C19" s="14" t="s">
        <v>39</v>
      </c>
      <c r="D19" s="14"/>
      <c r="E19" s="14"/>
      <c r="F19" s="14"/>
      <c r="G19" s="14"/>
      <c r="H19" s="14"/>
      <c r="I19" s="14"/>
      <c r="J19" s="14"/>
      <c r="K19" s="14"/>
      <c r="L19" s="14"/>
      <c r="M19" s="14">
        <f t="shared" si="0"/>
        <v>17</v>
      </c>
      <c r="N19" s="14">
        <v>10</v>
      </c>
      <c r="O19" s="14"/>
    </row>
    <row r="20" spans="1:15" ht="14.45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>
        <v>18</v>
      </c>
      <c r="N20" s="14">
        <v>10</v>
      </c>
      <c r="O20" s="14"/>
    </row>
    <row r="21" spans="1:15" ht="14.45" x14ac:dyDescent="0.3">
      <c r="A21" s="14">
        <v>1</v>
      </c>
      <c r="B21" s="14">
        <v>2</v>
      </c>
      <c r="C21" s="14">
        <v>3</v>
      </c>
      <c r="D21" s="14">
        <v>4</v>
      </c>
      <c r="E21" s="14">
        <v>5</v>
      </c>
      <c r="F21" s="14">
        <v>5</v>
      </c>
      <c r="G21" s="14">
        <v>6</v>
      </c>
      <c r="H21" s="14">
        <v>6</v>
      </c>
      <c r="I21" s="14">
        <v>7</v>
      </c>
      <c r="J21" s="14">
        <v>8</v>
      </c>
      <c r="K21" s="14">
        <v>9</v>
      </c>
      <c r="N21" s="14"/>
      <c r="O21" s="14"/>
    </row>
    <row r="22" spans="1:15" ht="14.45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 t="s">
        <v>40</v>
      </c>
      <c r="L22" s="14"/>
      <c r="M22" s="14"/>
      <c r="N22" s="14"/>
      <c r="O22" s="14"/>
    </row>
    <row r="23" spans="1:1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 t="s">
        <v>41</v>
      </c>
      <c r="L23" s="14"/>
      <c r="M23" s="14"/>
      <c r="N23" s="14"/>
      <c r="O23" s="14"/>
    </row>
    <row r="24" spans="1:15" ht="14.45" x14ac:dyDescent="0.3">
      <c r="A24" s="14">
        <v>1</v>
      </c>
      <c r="B24" s="14">
        <v>2</v>
      </c>
      <c r="C24" s="14">
        <v>3</v>
      </c>
      <c r="D24" s="14">
        <v>4</v>
      </c>
      <c r="E24" s="14">
        <v>5</v>
      </c>
      <c r="F24" s="14"/>
      <c r="G24" s="14">
        <v>1</v>
      </c>
      <c r="H24" s="14">
        <v>2</v>
      </c>
      <c r="I24" s="14">
        <v>3</v>
      </c>
      <c r="J24" s="14">
        <v>4</v>
      </c>
      <c r="K24" s="14">
        <v>5</v>
      </c>
      <c r="L24" s="14"/>
      <c r="M24" s="14"/>
      <c r="N24" s="14"/>
      <c r="O24" s="14"/>
    </row>
    <row r="25" spans="1:15" ht="14.45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45" x14ac:dyDescent="0.3">
      <c r="A26" s="14"/>
      <c r="B26" s="14"/>
      <c r="C26" s="14"/>
      <c r="D26" s="14"/>
      <c r="E26" s="14"/>
      <c r="F26" s="14" t="s">
        <v>42</v>
      </c>
      <c r="G26" s="14"/>
      <c r="H26" s="14"/>
      <c r="I26" s="14"/>
      <c r="J26" s="14"/>
      <c r="K26" s="14"/>
      <c r="L26" s="14"/>
      <c r="M26" s="14"/>
      <c r="N26" s="14"/>
      <c r="O26" s="14"/>
    </row>
    <row r="27" spans="1:15" ht="14.45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4.45" x14ac:dyDescent="0.3">
      <c r="A28" s="14"/>
      <c r="B28" s="14"/>
      <c r="C28" s="14"/>
      <c r="D28" s="14"/>
      <c r="E28" s="14"/>
      <c r="F28" s="19">
        <v>5</v>
      </c>
      <c r="G28" s="14"/>
      <c r="H28" s="14"/>
      <c r="I28" s="14"/>
      <c r="J28" s="14"/>
      <c r="K28" s="14"/>
      <c r="L28" s="14"/>
      <c r="M28" s="14"/>
      <c r="N28" s="14"/>
      <c r="O28" s="14"/>
    </row>
    <row r="29" spans="1:15" ht="14.45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4.45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21" x14ac:dyDescent="0.4">
      <c r="A31" s="14"/>
      <c r="B31" s="14"/>
      <c r="C31" s="124" t="s">
        <v>43</v>
      </c>
      <c r="D31" s="124"/>
      <c r="E31" s="124"/>
      <c r="F31" s="124"/>
      <c r="G31" s="124"/>
      <c r="H31" s="124"/>
      <c r="I31" s="124"/>
      <c r="J31" s="124"/>
      <c r="K31" s="28" t="s">
        <v>50</v>
      </c>
      <c r="L31" s="14"/>
      <c r="M31" s="14"/>
      <c r="N31" s="14"/>
      <c r="O31" s="14"/>
    </row>
    <row r="32" spans="1:15" ht="14.45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6" ht="14.45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6" ht="14.45" x14ac:dyDescent="0.3">
      <c r="A34" s="19">
        <v>1</v>
      </c>
      <c r="B34" s="14">
        <v>3</v>
      </c>
      <c r="C34" s="20">
        <v>4</v>
      </c>
      <c r="D34" s="14">
        <v>6</v>
      </c>
      <c r="E34" s="14">
        <v>7</v>
      </c>
      <c r="F34" s="14">
        <v>2</v>
      </c>
      <c r="G34" s="20">
        <v>4</v>
      </c>
      <c r="H34" s="14">
        <v>8</v>
      </c>
      <c r="I34" s="14">
        <v>9</v>
      </c>
      <c r="J34" s="19">
        <v>1</v>
      </c>
      <c r="K34" s="14">
        <v>5</v>
      </c>
      <c r="L34" s="20">
        <v>4</v>
      </c>
      <c r="M34" s="14"/>
      <c r="N34" s="14"/>
      <c r="O34" s="14"/>
    </row>
    <row r="35" spans="1:16" ht="14.45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6" ht="14.45" x14ac:dyDescent="0.3">
      <c r="A36" s="14"/>
      <c r="B36" s="14" t="s">
        <v>44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6" ht="14.45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6" ht="14.45" x14ac:dyDescent="0.3">
      <c r="A38" s="21">
        <v>1</v>
      </c>
      <c r="B38" s="22">
        <v>2</v>
      </c>
      <c r="C38" s="23">
        <v>3</v>
      </c>
      <c r="D38" s="24">
        <v>4</v>
      </c>
      <c r="E38" s="24">
        <v>4</v>
      </c>
      <c r="F38" s="14">
        <v>5</v>
      </c>
      <c r="G38" s="22">
        <v>2</v>
      </c>
      <c r="H38" s="21">
        <v>1</v>
      </c>
      <c r="I38" s="23">
        <v>3</v>
      </c>
      <c r="J38" s="24">
        <v>4</v>
      </c>
      <c r="K38" s="22">
        <v>2</v>
      </c>
      <c r="L38" s="23">
        <v>-3</v>
      </c>
      <c r="M38" s="24">
        <v>4</v>
      </c>
      <c r="N38" s="14">
        <v>6</v>
      </c>
      <c r="O38" s="23">
        <v>3</v>
      </c>
      <c r="P38" s="23">
        <v>3</v>
      </c>
    </row>
    <row r="39" spans="1:16" ht="14.45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6" ht="14.45" x14ac:dyDescent="0.3">
      <c r="A40" s="14"/>
      <c r="B40" s="14" t="s">
        <v>45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6" ht="14.45" x14ac:dyDescent="0.3">
      <c r="A41" s="14">
        <v>1</v>
      </c>
      <c r="B41" s="14">
        <v>2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ht="14.45" x14ac:dyDescent="0.3">
      <c r="A42" s="14">
        <v>2</v>
      </c>
      <c r="B42" s="14">
        <v>3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ht="14.45" x14ac:dyDescent="0.3">
      <c r="A43" s="14">
        <v>3</v>
      </c>
      <c r="B43" s="14">
        <v>4</v>
      </c>
      <c r="C43" s="14"/>
      <c r="D43" s="14" t="s">
        <v>46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6" ht="14.45" x14ac:dyDescent="0.3">
      <c r="A44" s="14">
        <v>4</v>
      </c>
      <c r="B44" s="14">
        <v>4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6" ht="14.45" x14ac:dyDescent="0.3">
      <c r="A45" s="14">
        <v>5</v>
      </c>
      <c r="B45" s="14">
        <v>1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6" ht="14.45" x14ac:dyDescent="0.3">
      <c r="A46" s="14">
        <v>6</v>
      </c>
      <c r="B46" s="14">
        <v>1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6" ht="14.45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6" ht="14.45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7" ht="14.45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7" ht="14.45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7" ht="14.45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7" ht="14.45" x14ac:dyDescent="0.3">
      <c r="A52" s="14">
        <v>1</v>
      </c>
      <c r="B52" s="14">
        <v>2</v>
      </c>
      <c r="C52" s="14">
        <v>3</v>
      </c>
      <c r="D52" s="14">
        <v>4</v>
      </c>
      <c r="E52" s="14">
        <v>5</v>
      </c>
      <c r="F52" s="14">
        <v>6</v>
      </c>
      <c r="G52" s="14">
        <v>7</v>
      </c>
      <c r="H52" s="14">
        <v>8</v>
      </c>
      <c r="I52" s="14">
        <v>9</v>
      </c>
      <c r="J52" s="14"/>
      <c r="K52" s="14"/>
      <c r="L52" s="14"/>
      <c r="M52" s="14"/>
      <c r="N52" s="14"/>
      <c r="O52" s="14"/>
    </row>
    <row r="53" spans="1:17" ht="14.45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7" ht="18.75" x14ac:dyDescent="0.3">
      <c r="A54" s="14" t="s">
        <v>47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7" ht="15.6" x14ac:dyDescent="0.3">
      <c r="A55" s="2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7" ht="14.45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7" ht="14.45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5"/>
      <c r="Q57" s="5"/>
    </row>
    <row r="58" spans="1:17" ht="14.45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7" ht="14.45" x14ac:dyDescent="0.3">
      <c r="A59" s="14">
        <v>70</v>
      </c>
      <c r="B59" s="14">
        <v>90</v>
      </c>
      <c r="C59" s="14">
        <v>95</v>
      </c>
      <c r="D59" s="14">
        <v>74</v>
      </c>
      <c r="E59" s="14">
        <v>58</v>
      </c>
      <c r="F59" s="14">
        <v>70</v>
      </c>
      <c r="G59" s="14">
        <v>98</v>
      </c>
      <c r="H59" s="14">
        <v>72</v>
      </c>
      <c r="I59" s="14">
        <v>75</v>
      </c>
      <c r="J59" s="14">
        <v>85</v>
      </c>
      <c r="K59" s="14"/>
      <c r="L59" s="14"/>
      <c r="M59" s="14"/>
      <c r="N59" s="14"/>
      <c r="O59" s="14"/>
    </row>
    <row r="60" spans="1:17" ht="14.45" x14ac:dyDescent="0.3">
      <c r="A60" s="14">
        <v>95</v>
      </c>
      <c r="B60" s="14">
        <v>74</v>
      </c>
      <c r="C60" s="14">
        <v>80</v>
      </c>
      <c r="D60" s="14">
        <v>85</v>
      </c>
      <c r="E60" s="14">
        <v>90</v>
      </c>
      <c r="F60" s="14">
        <v>65</v>
      </c>
      <c r="G60" s="14">
        <v>90</v>
      </c>
      <c r="H60" s="14">
        <v>75</v>
      </c>
      <c r="I60" s="14">
        <v>90</v>
      </c>
      <c r="J60" s="14">
        <v>69</v>
      </c>
      <c r="K60" s="14"/>
      <c r="L60" s="14"/>
      <c r="M60" s="14"/>
      <c r="N60" s="14"/>
      <c r="O60" s="14"/>
    </row>
    <row r="61" spans="1:17" ht="14.45" x14ac:dyDescent="0.3">
      <c r="A61" s="14">
        <f t="shared" ref="A61:J61" si="2">SUM(A59:A60)</f>
        <v>165</v>
      </c>
      <c r="B61" s="14">
        <f t="shared" si="2"/>
        <v>164</v>
      </c>
      <c r="C61" s="14">
        <f t="shared" si="2"/>
        <v>175</v>
      </c>
      <c r="D61" s="14">
        <f t="shared" si="2"/>
        <v>159</v>
      </c>
      <c r="E61" s="14">
        <f t="shared" si="2"/>
        <v>148</v>
      </c>
      <c r="F61" s="14">
        <f t="shared" si="2"/>
        <v>135</v>
      </c>
      <c r="G61" s="14">
        <f t="shared" si="2"/>
        <v>188</v>
      </c>
      <c r="H61" s="14">
        <f t="shared" si="2"/>
        <v>147</v>
      </c>
      <c r="I61" s="14">
        <f t="shared" si="2"/>
        <v>165</v>
      </c>
      <c r="J61" s="14">
        <f t="shared" si="2"/>
        <v>154</v>
      </c>
      <c r="K61" s="14">
        <f>SUM(A61:J61)</f>
        <v>1600</v>
      </c>
      <c r="L61" s="14">
        <f>K61/K62</f>
        <v>80</v>
      </c>
      <c r="M61" s="14"/>
      <c r="N61" s="14"/>
      <c r="O61" s="14"/>
    </row>
    <row r="62" spans="1:17" ht="14.45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>
        <v>20</v>
      </c>
      <c r="L62" s="14"/>
      <c r="M62" s="14"/>
      <c r="N62" s="14"/>
      <c r="O62" s="14"/>
    </row>
    <row r="63" spans="1:17" ht="14.45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7" ht="14.45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14.45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14.45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14.45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14.45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14.45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ht="14.45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ht="14.45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1:1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1:1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1:1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</row>
    <row r="188" spans="1:1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</row>
    <row r="198" spans="1:1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</row>
    <row r="201" spans="1:1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</row>
    <row r="203" spans="1:1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spans="1:1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1:1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1:1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</row>
    <row r="248" spans="1:1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</row>
    <row r="249" spans="1:1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</row>
    <row r="250" spans="1:1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</row>
    <row r="255" spans="1:1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</row>
    <row r="256" spans="1:1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spans="1:1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</row>
    <row r="259" spans="1:1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</row>
    <row r="261" spans="1:1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</row>
    <row r="263" spans="1:1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  <row r="267" spans="1:1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</row>
    <row r="268" spans="1:1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</row>
    <row r="269" spans="1:1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</row>
    <row r="270" spans="1:1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spans="1:1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</row>
    <row r="272" spans="1:1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</row>
    <row r="273" spans="1:1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</row>
    <row r="275" spans="1:1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</row>
    <row r="276" spans="1:1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</row>
    <row r="277" spans="1:1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</row>
    <row r="278" spans="1:1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</row>
    <row r="279" spans="1:1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</row>
    <row r="280" spans="1:1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</row>
    <row r="281" spans="1:1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1:1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</row>
    <row r="283" spans="1:1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</row>
    <row r="284" spans="1:1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</row>
    <row r="285" spans="1:1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</row>
    <row r="286" spans="1:1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</row>
    <row r="287" spans="1:1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</row>
    <row r="288" spans="1:1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</row>
    <row r="289" spans="1:1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</row>
    <row r="290" spans="1:1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</row>
    <row r="291" spans="1:1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</row>
    <row r="292" spans="1:1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</row>
    <row r="293" spans="1:1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</row>
    <row r="294" spans="1:1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</row>
    <row r="295" spans="1:1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</row>
    <row r="296" spans="1:1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</row>
    <row r="297" spans="1:1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</row>
    <row r="298" spans="1:1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</row>
    <row r="299" spans="1:1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</row>
    <row r="300" spans="1:1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</row>
    <row r="301" spans="1:1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</row>
    <row r="302" spans="1:1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</row>
    <row r="303" spans="1:1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</row>
    <row r="304" spans="1:1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</row>
    <row r="305" spans="1:1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</row>
    <row r="306" spans="1:1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</row>
    <row r="307" spans="1:1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</row>
    <row r="308" spans="1:1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</row>
    <row r="309" spans="1:1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</row>
    <row r="310" spans="1:1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</row>
    <row r="311" spans="1:1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</row>
    <row r="312" spans="1:1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</row>
    <row r="313" spans="1:1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</row>
    <row r="314" spans="1:1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</row>
    <row r="315" spans="1:1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</row>
    <row r="316" spans="1:1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</row>
    <row r="317" spans="1:1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</row>
    <row r="318" spans="1:1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</row>
    <row r="319" spans="1:1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</row>
    <row r="320" spans="1:1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</row>
    <row r="321" spans="1:1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</row>
    <row r="322" spans="1:1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</row>
    <row r="323" spans="1:1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</row>
    <row r="324" spans="1:1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</row>
    <row r="325" spans="1:1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</row>
    <row r="326" spans="1:1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</row>
    <row r="327" spans="1:1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</row>
    <row r="328" spans="1:1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</row>
    <row r="329" spans="1:1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</row>
    <row r="330" spans="1:1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spans="1:1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</row>
    <row r="332" spans="1:1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</row>
    <row r="333" spans="1:1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</row>
    <row r="334" spans="1:1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</row>
    <row r="335" spans="1:1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</row>
    <row r="336" spans="1:1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</row>
    <row r="337" spans="1:1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1:1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</row>
  </sheetData>
  <mergeCells count="3">
    <mergeCell ref="E1:I1"/>
    <mergeCell ref="D12:I12"/>
    <mergeCell ref="C31:J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3"/>
  <sheetViews>
    <sheetView topLeftCell="A34" zoomScale="80" zoomScaleNormal="80" workbookViewId="0">
      <selection activeCell="H60" sqref="H60"/>
    </sheetView>
  </sheetViews>
  <sheetFormatPr baseColWidth="10" defaultRowHeight="15" x14ac:dyDescent="0.25"/>
  <cols>
    <col min="3" max="3" width="17.140625" customWidth="1"/>
  </cols>
  <sheetData>
    <row r="1" spans="1:14" ht="14.45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4" ht="14.45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ht="14.45" x14ac:dyDescent="0.3">
      <c r="A3" s="14"/>
      <c r="B3" s="14" t="s">
        <v>51</v>
      </c>
      <c r="C3" s="14"/>
      <c r="D3" s="14"/>
      <c r="E3" s="14"/>
      <c r="F3" s="14"/>
      <c r="G3" s="14"/>
      <c r="H3" s="14"/>
      <c r="I3" s="14"/>
      <c r="J3" s="14"/>
      <c r="K3" s="14"/>
    </row>
    <row r="4" spans="1:14" ht="14.45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4" ht="14.45" x14ac:dyDescent="0.3">
      <c r="A5" s="14"/>
      <c r="B5" s="14" t="s">
        <v>21</v>
      </c>
      <c r="C5" s="14" t="s">
        <v>14</v>
      </c>
      <c r="D5" s="14"/>
      <c r="E5" s="14"/>
      <c r="F5" s="14"/>
      <c r="G5" s="14"/>
      <c r="H5" s="14"/>
      <c r="I5" s="14"/>
      <c r="J5" s="14"/>
      <c r="K5" s="14"/>
    </row>
    <row r="6" spans="1:14" ht="14.45" x14ac:dyDescent="0.3">
      <c r="A6" s="14"/>
      <c r="B6" s="14" t="s">
        <v>22</v>
      </c>
      <c r="C6" s="14"/>
      <c r="D6" s="14"/>
      <c r="E6" s="14"/>
      <c r="F6" s="14"/>
      <c r="G6" s="14"/>
      <c r="H6" s="14"/>
      <c r="I6" s="14"/>
      <c r="J6" s="14"/>
      <c r="K6" s="14"/>
    </row>
    <row r="7" spans="1:14" ht="14.45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4" ht="14.45" x14ac:dyDescent="0.3">
      <c r="A8" s="14"/>
      <c r="B8" s="14"/>
      <c r="C8" s="14"/>
      <c r="D8" s="14"/>
      <c r="E8" s="14"/>
      <c r="F8" s="14"/>
      <c r="G8" s="14">
        <v>10</v>
      </c>
      <c r="H8" s="14">
        <v>20</v>
      </c>
      <c r="I8" s="14">
        <v>30</v>
      </c>
      <c r="J8" s="19">
        <v>40</v>
      </c>
      <c r="K8" s="19">
        <v>50</v>
      </c>
      <c r="L8" s="14">
        <v>60</v>
      </c>
      <c r="M8" s="14">
        <v>70</v>
      </c>
      <c r="N8" s="14">
        <v>80</v>
      </c>
    </row>
    <row r="9" spans="1:14" ht="14.45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4" ht="14.4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4" ht="14.45" x14ac:dyDescent="0.3">
      <c r="A11" s="14"/>
      <c r="B11" s="14" t="s">
        <v>53</v>
      </c>
      <c r="C11" s="14" t="s">
        <v>54</v>
      </c>
      <c r="D11" s="14" t="s">
        <v>57</v>
      </c>
      <c r="E11" s="14" t="s">
        <v>17</v>
      </c>
      <c r="F11" s="14"/>
      <c r="G11" s="14"/>
      <c r="H11" s="14"/>
      <c r="I11" s="14"/>
      <c r="J11" s="14"/>
      <c r="K11" s="14"/>
    </row>
    <row r="12" spans="1:14" ht="14.45" x14ac:dyDescent="0.3">
      <c r="A12" s="14"/>
      <c r="B12" s="14" t="s">
        <v>56</v>
      </c>
      <c r="C12" s="14" t="s">
        <v>55</v>
      </c>
      <c r="D12" s="14" t="s">
        <v>58</v>
      </c>
      <c r="E12" s="14"/>
      <c r="F12" s="14"/>
      <c r="G12" s="14"/>
      <c r="H12" s="14"/>
      <c r="I12" s="14"/>
      <c r="J12" s="14"/>
      <c r="K12" s="14"/>
    </row>
    <row r="13" spans="1:14" ht="14.45" x14ac:dyDescent="0.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4" ht="14.45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4" ht="14.45" x14ac:dyDescent="0.3">
      <c r="A15" s="14"/>
      <c r="B15" s="14" t="s">
        <v>0</v>
      </c>
      <c r="C15" s="14">
        <v>95</v>
      </c>
      <c r="D15" s="14" t="s">
        <v>59</v>
      </c>
      <c r="E15" s="14"/>
      <c r="F15" s="14"/>
      <c r="G15" s="14"/>
      <c r="H15" s="14"/>
      <c r="I15" s="14"/>
      <c r="J15" s="14"/>
      <c r="K15" s="14"/>
    </row>
    <row r="16" spans="1:14" ht="14.45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9" ht="14.45" x14ac:dyDescent="0.3">
      <c r="A17" s="14"/>
      <c r="B17" s="15" t="s">
        <v>0</v>
      </c>
      <c r="C17" s="15">
        <v>95</v>
      </c>
      <c r="D17" s="14" t="s">
        <v>14</v>
      </c>
      <c r="E17" s="16">
        <f>C17/C18</f>
        <v>47.5</v>
      </c>
      <c r="F17" s="14"/>
      <c r="G17" s="14"/>
      <c r="H17" s="14"/>
      <c r="I17" s="14"/>
      <c r="J17" s="14"/>
      <c r="K17" s="14"/>
    </row>
    <row r="18" spans="1:19" ht="14.45" x14ac:dyDescent="0.3">
      <c r="A18" s="14"/>
      <c r="B18" s="14">
        <v>2</v>
      </c>
      <c r="C18" s="14">
        <v>2</v>
      </c>
      <c r="D18" s="14"/>
      <c r="E18" s="14"/>
      <c r="F18" s="14"/>
      <c r="G18" s="14"/>
      <c r="H18" s="14"/>
      <c r="I18" s="14"/>
      <c r="J18" s="14"/>
      <c r="K18" s="14"/>
    </row>
    <row r="19" spans="1:19" ht="14.45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9" ht="14.45" x14ac:dyDescent="0.3">
      <c r="A20" s="14"/>
      <c r="B20" s="125" t="s">
        <v>53</v>
      </c>
      <c r="C20" s="125"/>
      <c r="D20" s="14"/>
      <c r="E20" s="14"/>
      <c r="F20" s="14"/>
      <c r="G20" s="14"/>
      <c r="H20" s="14"/>
      <c r="I20" s="14"/>
      <c r="J20" s="14"/>
      <c r="K20" s="14"/>
    </row>
    <row r="21" spans="1:19" ht="14.45" x14ac:dyDescent="0.3">
      <c r="A21" s="14"/>
      <c r="B21" s="14" t="s">
        <v>12</v>
      </c>
      <c r="C21" s="14" t="s">
        <v>13</v>
      </c>
      <c r="D21" s="14" t="s">
        <v>55</v>
      </c>
      <c r="E21" s="14" t="s">
        <v>60</v>
      </c>
      <c r="F21" s="14" t="s">
        <v>17</v>
      </c>
      <c r="G21" s="14"/>
      <c r="H21" s="14"/>
      <c r="I21" s="14"/>
      <c r="J21" s="14" t="s">
        <v>12</v>
      </c>
      <c r="K21" s="14">
        <f>B25</f>
        <v>40</v>
      </c>
      <c r="L21" t="s">
        <v>63</v>
      </c>
      <c r="M21" s="15">
        <f>E25</f>
        <v>32</v>
      </c>
      <c r="N21" s="1" t="s">
        <v>21</v>
      </c>
      <c r="O21" s="1">
        <v>20</v>
      </c>
      <c r="P21" s="1"/>
      <c r="Q21" s="35">
        <v>10</v>
      </c>
    </row>
    <row r="22" spans="1:19" ht="14.45" x14ac:dyDescent="0.3">
      <c r="A22" s="14"/>
      <c r="B22" s="32">
        <v>10</v>
      </c>
      <c r="C22" s="14">
        <v>20</v>
      </c>
      <c r="D22" s="14">
        <f>(B22+C22)/2</f>
        <v>15</v>
      </c>
      <c r="E22" s="14">
        <v>10</v>
      </c>
      <c r="F22" s="14">
        <f>E22</f>
        <v>10</v>
      </c>
      <c r="G22" s="14"/>
      <c r="H22" s="14"/>
      <c r="I22" s="14"/>
      <c r="J22" s="14"/>
      <c r="K22" s="14"/>
      <c r="M22" s="33" t="s">
        <v>64</v>
      </c>
      <c r="N22" t="s">
        <v>66</v>
      </c>
      <c r="O22" s="34" t="s">
        <v>65</v>
      </c>
      <c r="P22">
        <v>8</v>
      </c>
    </row>
    <row r="23" spans="1:19" ht="14.45" x14ac:dyDescent="0.3">
      <c r="A23" s="14"/>
      <c r="B23" s="32">
        <v>20</v>
      </c>
      <c r="C23" s="14">
        <v>30</v>
      </c>
      <c r="D23" s="14">
        <f t="shared" ref="D23:D28" si="0">(B23+C23)/2</f>
        <v>25</v>
      </c>
      <c r="E23" s="14">
        <v>15</v>
      </c>
      <c r="F23" s="14">
        <f t="shared" ref="F23:F28" si="1">F22+E23</f>
        <v>25</v>
      </c>
      <c r="G23" s="14"/>
      <c r="H23" s="14"/>
      <c r="I23" s="14"/>
      <c r="J23" s="14"/>
      <c r="K23" s="14"/>
    </row>
    <row r="24" spans="1:19" ht="14.45" x14ac:dyDescent="0.3">
      <c r="A24" s="14"/>
      <c r="B24" s="32">
        <v>30</v>
      </c>
      <c r="C24" s="14">
        <v>40</v>
      </c>
      <c r="D24" s="14">
        <f t="shared" si="0"/>
        <v>35</v>
      </c>
      <c r="E24" s="14">
        <v>20</v>
      </c>
      <c r="F24" s="14">
        <f t="shared" si="1"/>
        <v>45</v>
      </c>
      <c r="G24" s="14"/>
      <c r="H24" s="14"/>
      <c r="I24" s="14"/>
      <c r="J24" s="14"/>
      <c r="K24" s="14" t="s">
        <v>67</v>
      </c>
      <c r="M24" s="1">
        <f>32-20</f>
        <v>12</v>
      </c>
      <c r="N24" s="1"/>
      <c r="O24" s="1"/>
      <c r="P24" s="35">
        <v>10</v>
      </c>
    </row>
    <row r="25" spans="1:19" ht="14.45" x14ac:dyDescent="0.3">
      <c r="A25" s="14"/>
      <c r="B25" s="14">
        <v>40</v>
      </c>
      <c r="C25" s="14">
        <v>50</v>
      </c>
      <c r="D25" s="14">
        <f t="shared" si="0"/>
        <v>45</v>
      </c>
      <c r="E25" s="19">
        <v>32</v>
      </c>
      <c r="F25" s="14">
        <f t="shared" si="1"/>
        <v>77</v>
      </c>
      <c r="G25" s="14"/>
      <c r="H25" s="19" t="s">
        <v>43</v>
      </c>
      <c r="I25" s="14"/>
      <c r="J25" s="14"/>
      <c r="K25" s="14"/>
      <c r="M25">
        <f>2*32</f>
        <v>64</v>
      </c>
      <c r="N25">
        <v>-20</v>
      </c>
      <c r="O25">
        <v>-8</v>
      </c>
    </row>
    <row r="26" spans="1:19" ht="14.45" x14ac:dyDescent="0.3">
      <c r="A26" s="14"/>
      <c r="B26" s="32">
        <v>50</v>
      </c>
      <c r="C26" s="14">
        <v>60</v>
      </c>
      <c r="D26" s="14">
        <f t="shared" si="0"/>
        <v>55</v>
      </c>
      <c r="E26" s="14">
        <v>8</v>
      </c>
      <c r="F26" s="14">
        <f t="shared" si="1"/>
        <v>85</v>
      </c>
      <c r="G26" s="14"/>
      <c r="H26" s="14"/>
      <c r="I26" s="14"/>
      <c r="J26" s="14"/>
      <c r="K26" s="14"/>
    </row>
    <row r="27" spans="1:19" ht="14.45" x14ac:dyDescent="0.3">
      <c r="A27" s="14"/>
      <c r="B27" s="32">
        <v>60</v>
      </c>
      <c r="C27" s="14">
        <v>70</v>
      </c>
      <c r="D27" s="14">
        <f t="shared" si="0"/>
        <v>65</v>
      </c>
      <c r="E27" s="14">
        <v>4</v>
      </c>
      <c r="F27" s="14">
        <f t="shared" si="1"/>
        <v>89</v>
      </c>
      <c r="G27" s="14"/>
      <c r="H27" s="14"/>
      <c r="I27" s="14"/>
      <c r="J27" s="14"/>
      <c r="K27" s="14"/>
      <c r="M27" s="1">
        <f>M24</f>
        <v>12</v>
      </c>
      <c r="N27">
        <v>10</v>
      </c>
    </row>
    <row r="28" spans="1:19" ht="14.45" x14ac:dyDescent="0.3">
      <c r="A28" s="14"/>
      <c r="B28" s="32">
        <v>70</v>
      </c>
      <c r="C28" s="14">
        <v>80</v>
      </c>
      <c r="D28" s="14">
        <f t="shared" si="0"/>
        <v>75</v>
      </c>
      <c r="E28" s="14">
        <v>6</v>
      </c>
      <c r="F28" s="14">
        <f t="shared" si="1"/>
        <v>95</v>
      </c>
      <c r="G28" s="14"/>
      <c r="H28" s="14"/>
      <c r="I28" s="14"/>
      <c r="J28" s="14"/>
      <c r="K28" s="14"/>
      <c r="M28">
        <f>M25-20-8</f>
        <v>36</v>
      </c>
    </row>
    <row r="29" spans="1:19" ht="14.45" x14ac:dyDescent="0.3">
      <c r="A29" s="14"/>
      <c r="B29" s="14"/>
      <c r="C29" s="14"/>
      <c r="D29" s="14"/>
      <c r="E29" s="14">
        <f>SUM(E22:E28)</f>
        <v>95</v>
      </c>
      <c r="F29" s="14" t="s">
        <v>61</v>
      </c>
      <c r="G29" s="14"/>
      <c r="H29" s="14"/>
      <c r="I29" s="14"/>
      <c r="J29" s="14"/>
      <c r="K29" s="14"/>
    </row>
    <row r="30" spans="1:19" ht="14.45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M30">
        <f>M27/M28</f>
        <v>0.33333333333333331</v>
      </c>
      <c r="N30">
        <v>10</v>
      </c>
    </row>
    <row r="31" spans="1:19" ht="14.45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 t="str">
        <f>K24</f>
        <v>40+</v>
      </c>
      <c r="M31">
        <f>M30*N30</f>
        <v>3.333333333333333</v>
      </c>
      <c r="N31" t="s">
        <v>14</v>
      </c>
      <c r="O31" s="5">
        <f>40+M31</f>
        <v>43.333333333333336</v>
      </c>
      <c r="P31" s="5" t="s">
        <v>68</v>
      </c>
      <c r="Q31" s="5"/>
      <c r="R31" s="5"/>
      <c r="S31" s="5"/>
    </row>
    <row r="32" spans="1:19" ht="14.45" x14ac:dyDescent="0.3">
      <c r="A32" s="14"/>
      <c r="B32" s="14" t="s">
        <v>62</v>
      </c>
      <c r="C32" s="14"/>
      <c r="D32" s="14"/>
      <c r="E32" s="14"/>
      <c r="F32" s="14"/>
      <c r="G32" s="14"/>
      <c r="H32" s="14"/>
      <c r="I32" s="14"/>
      <c r="J32" s="14"/>
      <c r="K32" s="14"/>
    </row>
    <row r="33" spans="1:11" ht="14.45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ht="14.45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14.45" x14ac:dyDescent="0.3">
      <c r="A35" s="14"/>
      <c r="B35" s="14"/>
      <c r="C35" s="14"/>
      <c r="D35" s="14">
        <f>E22*D22</f>
        <v>150</v>
      </c>
      <c r="E35" s="14"/>
      <c r="F35" s="14"/>
      <c r="G35" s="14"/>
      <c r="H35" s="14"/>
      <c r="I35" s="14"/>
      <c r="J35" s="14"/>
      <c r="K35" s="14"/>
    </row>
    <row r="36" spans="1:11" ht="14.45" x14ac:dyDescent="0.3">
      <c r="A36" s="14"/>
      <c r="B36" s="14"/>
      <c r="C36" s="14"/>
      <c r="D36" s="14">
        <f t="shared" ref="D36:D41" si="2">E23*D23</f>
        <v>375</v>
      </c>
      <c r="E36" s="14"/>
      <c r="F36" s="14"/>
      <c r="G36" s="14"/>
      <c r="H36" s="14"/>
      <c r="I36" s="14"/>
      <c r="J36" s="14"/>
      <c r="K36" s="14"/>
    </row>
    <row r="37" spans="1:11" ht="14.45" x14ac:dyDescent="0.3">
      <c r="A37" s="14"/>
      <c r="B37" s="14"/>
      <c r="C37" s="14"/>
      <c r="D37" s="14">
        <f t="shared" si="2"/>
        <v>700</v>
      </c>
      <c r="E37" s="14"/>
      <c r="F37" s="14"/>
      <c r="G37" s="14"/>
      <c r="H37" s="14"/>
      <c r="I37" s="14"/>
      <c r="J37" s="14"/>
      <c r="K37" s="14"/>
    </row>
    <row r="38" spans="1:11" ht="14.45" x14ac:dyDescent="0.3">
      <c r="A38" s="14"/>
      <c r="B38" s="14"/>
      <c r="C38" s="14"/>
      <c r="D38" s="14">
        <f t="shared" si="2"/>
        <v>1440</v>
      </c>
      <c r="E38" s="14"/>
      <c r="F38" s="14"/>
      <c r="G38" s="14"/>
      <c r="H38" s="14"/>
      <c r="I38" s="14"/>
      <c r="J38" s="14"/>
      <c r="K38" s="14"/>
    </row>
    <row r="39" spans="1:11" ht="14.45" x14ac:dyDescent="0.3">
      <c r="A39" s="14"/>
      <c r="B39" s="14"/>
      <c r="C39" s="14"/>
      <c r="D39" s="14">
        <f t="shared" si="2"/>
        <v>440</v>
      </c>
      <c r="E39" s="14"/>
      <c r="F39" s="14"/>
      <c r="G39" s="14"/>
      <c r="H39" s="14"/>
      <c r="I39" s="14"/>
      <c r="J39" s="14"/>
      <c r="K39" s="14"/>
    </row>
    <row r="40" spans="1:11" ht="14.45" x14ac:dyDescent="0.3">
      <c r="A40" s="14"/>
      <c r="B40" s="14"/>
      <c r="C40" s="14"/>
      <c r="D40" s="14">
        <f t="shared" si="2"/>
        <v>260</v>
      </c>
      <c r="E40" s="14"/>
      <c r="F40" s="14"/>
      <c r="G40" s="14"/>
      <c r="H40" s="14"/>
      <c r="I40" s="14"/>
      <c r="J40" s="14"/>
      <c r="K40" s="14"/>
    </row>
    <row r="41" spans="1:11" ht="14.45" x14ac:dyDescent="0.3">
      <c r="A41" s="14"/>
      <c r="B41" s="14"/>
      <c r="C41" s="14"/>
      <c r="D41" s="14">
        <f t="shared" si="2"/>
        <v>450</v>
      </c>
      <c r="E41" s="14"/>
      <c r="F41" s="14"/>
      <c r="G41" s="14"/>
      <c r="H41" s="14"/>
      <c r="I41" s="14"/>
      <c r="J41" s="14"/>
      <c r="K41" s="14"/>
    </row>
    <row r="42" spans="1:11" ht="14.45" x14ac:dyDescent="0.3">
      <c r="A42" s="14"/>
      <c r="B42" s="14"/>
      <c r="C42" s="14"/>
      <c r="D42" s="14">
        <f>SUM(D35:D41)</f>
        <v>3815</v>
      </c>
      <c r="E42" s="14">
        <f>D42/95</f>
        <v>40.157894736842103</v>
      </c>
      <c r="F42" s="14"/>
      <c r="G42" s="14"/>
      <c r="H42" s="14"/>
      <c r="I42" s="14"/>
      <c r="J42" s="14"/>
      <c r="K42" s="14"/>
    </row>
    <row r="43" spans="1:11" ht="14.45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14.45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ht="14.45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ht="14.45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4.45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ht="14.45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14.45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4.45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14.45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ht="14.45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ht="14.45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ht="14.45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4.45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ht="14.45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ht="14.45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ht="14.45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ht="14.45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ht="14.45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 ht="14.45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 ht="14.45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ht="14.45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1:1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1:1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1:1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1:1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1:1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1:1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1:1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1:1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1:1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1:1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1:1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1:1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1:1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1:1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1:1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1:1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1:1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1:1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1:1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1:1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1:1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1:1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1:1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1:1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1:1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1:1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1:1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1:1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1:1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1:1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1:1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1:1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1:1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1:1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1:1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1:1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</row>
    <row r="142" spans="1:1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1:1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1:1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1:1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1:1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1:1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</row>
    <row r="150" spans="1:1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1:1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</row>
    <row r="152" spans="1:1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</row>
    <row r="153" spans="1:1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1:1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1:1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1:1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</row>
    <row r="157" spans="1:1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1:1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1:1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1:1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1:1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1:1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</row>
    <row r="165" spans="1:1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</row>
    <row r="166" spans="1:1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1:1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1:1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</row>
    <row r="169" spans="1:1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</row>
    <row r="170" spans="1:1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</row>
    <row r="171" spans="1:1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</row>
    <row r="174" spans="1:1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</row>
    <row r="175" spans="1:1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</row>
    <row r="176" spans="1:1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</row>
    <row r="177" spans="1:1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1:1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</row>
    <row r="179" spans="1:1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1:1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1:1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</row>
    <row r="182" spans="1:1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1:1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  <row r="185" spans="1:1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1:1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1:1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</row>
    <row r="188" spans="1:1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</row>
    <row r="189" spans="1:1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</row>
    <row r="190" spans="1:1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</row>
    <row r="191" spans="1:1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</row>
    <row r="192" spans="1:1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</row>
    <row r="193" spans="1:1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</row>
    <row r="194" spans="1:1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</row>
    <row r="195" spans="1:1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</row>
    <row r="196" spans="1:1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</row>
    <row r="197" spans="1:1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</row>
    <row r="198" spans="1:1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</row>
    <row r="199" spans="1:1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</row>
    <row r="200" spans="1:1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</row>
    <row r="201" spans="1:1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</row>
    <row r="202" spans="1:1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</row>
    <row r="203" spans="1:1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</row>
    <row r="204" spans="1:1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</row>
    <row r="205" spans="1:1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</row>
    <row r="206" spans="1:1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</row>
    <row r="207" spans="1:1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</row>
    <row r="208" spans="1:1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</row>
    <row r="209" spans="1:1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</row>
    <row r="210" spans="1:1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</row>
    <row r="211" spans="1:1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</row>
    <row r="212" spans="1:1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</row>
    <row r="213" spans="1:1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</row>
    <row r="214" spans="1:1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</row>
    <row r="215" spans="1:1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</row>
    <row r="216" spans="1:1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</row>
    <row r="217" spans="1:1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</row>
    <row r="218" spans="1:1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</row>
    <row r="219" spans="1:1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</row>
    <row r="220" spans="1:1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</row>
    <row r="221" spans="1:1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</row>
    <row r="222" spans="1:1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</row>
    <row r="223" spans="1:1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</row>
    <row r="224" spans="1:1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</row>
    <row r="225" spans="1:1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</row>
    <row r="226" spans="1:1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</row>
    <row r="227" spans="1:1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</row>
    <row r="228" spans="1:1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</row>
    <row r="229" spans="1:1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</row>
    <row r="230" spans="1:1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</row>
    <row r="231" spans="1:1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</row>
    <row r="232" spans="1:1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</row>
    <row r="233" spans="1:1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</row>
    <row r="234" spans="1:1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</row>
    <row r="235" spans="1:1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</row>
    <row r="236" spans="1:1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</row>
    <row r="237" spans="1:1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</row>
    <row r="238" spans="1:1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</row>
    <row r="239" spans="1:1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</row>
    <row r="240" spans="1:1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</row>
    <row r="241" spans="1:1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</row>
    <row r="242" spans="1:1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</row>
    <row r="243" spans="1:1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</row>
    <row r="244" spans="1:1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</row>
    <row r="245" spans="1:1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</row>
    <row r="246" spans="1:1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</row>
    <row r="247" spans="1:1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</row>
    <row r="248" spans="1:1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</row>
    <row r="249" spans="1:1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</row>
    <row r="250" spans="1:1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</row>
    <row r="251" spans="1:1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</row>
    <row r="252" spans="1:1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</row>
    <row r="253" spans="1:1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</row>
    <row r="254" spans="1:1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</row>
    <row r="255" spans="1:1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</row>
    <row r="256" spans="1:1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</row>
    <row r="257" spans="1:1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</row>
    <row r="258" spans="1:1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</row>
    <row r="259" spans="1:1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</row>
    <row r="260" spans="1:1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</row>
    <row r="261" spans="1:1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</row>
    <row r="262" spans="1:1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</row>
    <row r="263" spans="1:1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</row>
  </sheetData>
  <mergeCells count="1">
    <mergeCell ref="B20:C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F1" sqref="F1"/>
    </sheetView>
  </sheetViews>
  <sheetFormatPr baseColWidth="10" defaultRowHeight="15" x14ac:dyDescent="0.25"/>
  <sheetData>
    <row r="2" spans="3:6" x14ac:dyDescent="0.3">
      <c r="C2" t="s">
        <v>69</v>
      </c>
    </row>
    <row r="4" spans="3:6" x14ac:dyDescent="0.3">
      <c r="C4" t="s">
        <v>70</v>
      </c>
      <c r="E4" t="s">
        <v>63</v>
      </c>
    </row>
    <row r="5" spans="3:6" x14ac:dyDescent="0.3">
      <c r="C5" t="s">
        <v>71</v>
      </c>
      <c r="E5" t="s">
        <v>63</v>
      </c>
    </row>
    <row r="6" spans="3:6" x14ac:dyDescent="0.3">
      <c r="C6" t="s">
        <v>72</v>
      </c>
      <c r="E6" t="s">
        <v>63</v>
      </c>
    </row>
    <row r="7" spans="3:6" x14ac:dyDescent="0.3">
      <c r="C7" t="s">
        <v>73</v>
      </c>
    </row>
    <row r="9" spans="3:6" x14ac:dyDescent="0.3">
      <c r="C9" t="s">
        <v>74</v>
      </c>
    </row>
    <row r="11" spans="3:6" x14ac:dyDescent="0.3">
      <c r="C11" t="s">
        <v>75</v>
      </c>
    </row>
    <row r="14" spans="3:6" x14ac:dyDescent="0.3">
      <c r="C14" t="s">
        <v>76</v>
      </c>
    </row>
    <row r="15" spans="3:6" x14ac:dyDescent="0.3">
      <c r="C15" t="s">
        <v>77</v>
      </c>
      <c r="E15" t="s">
        <v>79</v>
      </c>
      <c r="F15" t="s">
        <v>80</v>
      </c>
    </row>
    <row r="16" spans="3:6" x14ac:dyDescent="0.3">
      <c r="C16" t="s">
        <v>78</v>
      </c>
    </row>
    <row r="18" spans="1:8" x14ac:dyDescent="0.3">
      <c r="A18" s="8"/>
      <c r="B18" s="8"/>
      <c r="C18" s="8"/>
      <c r="D18" s="8"/>
      <c r="E18" s="8"/>
      <c r="F18" s="8"/>
      <c r="G18" s="8"/>
      <c r="H18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16"/>
  <sheetViews>
    <sheetView workbookViewId="0">
      <selection activeCell="A34" sqref="A34"/>
    </sheetView>
  </sheetViews>
  <sheetFormatPr baseColWidth="10" defaultRowHeight="15" x14ac:dyDescent="0.25"/>
  <sheetData>
    <row r="9" spans="2:8" x14ac:dyDescent="0.3">
      <c r="B9" t="s">
        <v>55</v>
      </c>
      <c r="C9" t="s">
        <v>88</v>
      </c>
      <c r="F9" t="s">
        <v>58</v>
      </c>
      <c r="G9" t="s">
        <v>20</v>
      </c>
    </row>
    <row r="10" spans="2:8" x14ac:dyDescent="0.3">
      <c r="B10">
        <f>(C10+D10)/2</f>
        <v>61</v>
      </c>
      <c r="C10">
        <v>60</v>
      </c>
      <c r="D10">
        <v>62</v>
      </c>
      <c r="E10">
        <v>61</v>
      </c>
      <c r="F10">
        <v>5</v>
      </c>
      <c r="G10">
        <f>E10*F10</f>
        <v>305</v>
      </c>
    </row>
    <row r="11" spans="2:8" x14ac:dyDescent="0.3">
      <c r="B11">
        <f t="shared" ref="B11:B14" si="0">(C11+D11)/2</f>
        <v>64</v>
      </c>
      <c r="C11">
        <v>63</v>
      </c>
      <c r="D11">
        <v>65</v>
      </c>
      <c r="E11">
        <v>64</v>
      </c>
      <c r="F11">
        <v>18</v>
      </c>
      <c r="G11">
        <f t="shared" ref="G11:G14" si="1">E11*F11</f>
        <v>1152</v>
      </c>
    </row>
    <row r="12" spans="2:8" x14ac:dyDescent="0.3">
      <c r="B12">
        <f t="shared" si="0"/>
        <v>67</v>
      </c>
      <c r="C12">
        <v>66</v>
      </c>
      <c r="D12">
        <v>68</v>
      </c>
      <c r="E12">
        <v>67</v>
      </c>
      <c r="F12">
        <v>42</v>
      </c>
      <c r="G12">
        <f t="shared" si="1"/>
        <v>2814</v>
      </c>
    </row>
    <row r="13" spans="2:8" x14ac:dyDescent="0.3">
      <c r="B13">
        <f t="shared" si="0"/>
        <v>70</v>
      </c>
      <c r="C13">
        <v>69</v>
      </c>
      <c r="D13">
        <v>71</v>
      </c>
      <c r="E13">
        <v>70</v>
      </c>
      <c r="F13">
        <v>27</v>
      </c>
      <c r="G13">
        <f t="shared" si="1"/>
        <v>1890</v>
      </c>
    </row>
    <row r="14" spans="2:8" x14ac:dyDescent="0.3">
      <c r="B14">
        <f t="shared" si="0"/>
        <v>73</v>
      </c>
      <c r="C14">
        <v>72</v>
      </c>
      <c r="D14">
        <v>74</v>
      </c>
      <c r="E14">
        <v>73</v>
      </c>
      <c r="F14">
        <v>8</v>
      </c>
      <c r="G14">
        <f t="shared" si="1"/>
        <v>584</v>
      </c>
    </row>
    <row r="15" spans="2:8" x14ac:dyDescent="0.3">
      <c r="F15">
        <f>SUM(F10:F14)</f>
        <v>100</v>
      </c>
      <c r="G15">
        <f>SUM(G10:G14)</f>
        <v>6745</v>
      </c>
    </row>
    <row r="16" spans="2:8" x14ac:dyDescent="0.3">
      <c r="H16">
        <f>G15/F15</f>
        <v>67.45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topLeftCell="A40" workbookViewId="0">
      <selection activeCell="D14" sqref="D14"/>
    </sheetView>
  </sheetViews>
  <sheetFormatPr baseColWidth="10" defaultRowHeight="15" x14ac:dyDescent="0.25"/>
  <sheetData>
    <row r="3" spans="2:3" ht="14.45" x14ac:dyDescent="0.3">
      <c r="B3" t="s">
        <v>81</v>
      </c>
    </row>
    <row r="4" spans="2:3" ht="14.45" x14ac:dyDescent="0.3">
      <c r="B4" t="s">
        <v>82</v>
      </c>
      <c r="C4" t="s">
        <v>83</v>
      </c>
    </row>
    <row r="5" spans="2:3" x14ac:dyDescent="0.25">
      <c r="B5" t="s">
        <v>84</v>
      </c>
    </row>
    <row r="7" spans="2:3" ht="14.45" x14ac:dyDescent="0.3">
      <c r="B7" t="s">
        <v>85</v>
      </c>
    </row>
    <row r="8" spans="2:3" ht="14.45" x14ac:dyDescent="0.3">
      <c r="B8" t="s">
        <v>86</v>
      </c>
    </row>
    <row r="9" spans="2:3" ht="14.45" x14ac:dyDescent="0.3">
      <c r="C9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4"/>
  <sheetViews>
    <sheetView topLeftCell="A82" workbookViewId="0">
      <selection activeCell="A45" sqref="A45"/>
    </sheetView>
  </sheetViews>
  <sheetFormatPr baseColWidth="10" defaultRowHeight="15" x14ac:dyDescent="0.25"/>
  <cols>
    <col min="14" max="14" width="25.42578125" customWidth="1"/>
    <col min="15" max="15" width="21.85546875" customWidth="1"/>
  </cols>
  <sheetData>
    <row r="1" spans="1:11" ht="14.45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4.45" x14ac:dyDescent="0.3">
      <c r="A2" s="36"/>
      <c r="B2" s="36" t="s">
        <v>89</v>
      </c>
      <c r="C2" s="36" t="s">
        <v>97</v>
      </c>
      <c r="D2" s="36"/>
      <c r="E2" s="36"/>
      <c r="F2" s="36"/>
      <c r="G2" s="36"/>
      <c r="H2" s="36"/>
      <c r="I2" s="36"/>
      <c r="J2" s="36"/>
      <c r="K2" s="36"/>
    </row>
    <row r="3" spans="1:11" ht="14.45" x14ac:dyDescent="0.3">
      <c r="A3" s="36"/>
      <c r="B3" s="36" t="s">
        <v>90</v>
      </c>
      <c r="C3" s="36">
        <v>3</v>
      </c>
      <c r="D3" s="36"/>
      <c r="E3" s="36"/>
      <c r="F3" s="36"/>
      <c r="G3" s="36"/>
      <c r="H3" s="36">
        <f>126-118</f>
        <v>8</v>
      </c>
      <c r="I3" s="36"/>
      <c r="J3" s="36"/>
      <c r="K3" s="36"/>
    </row>
    <row r="4" spans="1:11" ht="14.45" x14ac:dyDescent="0.3">
      <c r="A4" s="36"/>
      <c r="B4" s="36" t="s">
        <v>91</v>
      </c>
      <c r="C4" s="36">
        <v>5</v>
      </c>
      <c r="D4" s="36"/>
      <c r="E4" s="36"/>
      <c r="F4" s="36"/>
      <c r="G4" s="36"/>
      <c r="H4" s="36"/>
      <c r="I4" s="36"/>
      <c r="J4" s="36"/>
      <c r="K4" s="36"/>
    </row>
    <row r="5" spans="1:11" ht="14.45" x14ac:dyDescent="0.3">
      <c r="A5" s="36"/>
      <c r="B5" s="36" t="s">
        <v>92</v>
      </c>
      <c r="C5" s="36">
        <v>9</v>
      </c>
      <c r="D5" s="36"/>
      <c r="E5" s="36">
        <f>C5+C4+C3</f>
        <v>17</v>
      </c>
      <c r="F5" s="36"/>
      <c r="G5" s="36"/>
      <c r="H5" s="36"/>
      <c r="I5" s="36"/>
      <c r="J5" s="36"/>
      <c r="K5" s="36"/>
    </row>
    <row r="6" spans="1:11" ht="14.45" x14ac:dyDescent="0.3">
      <c r="A6" s="36"/>
      <c r="B6" s="36" t="s">
        <v>93</v>
      </c>
      <c r="C6" s="36">
        <v>12</v>
      </c>
      <c r="D6" s="36"/>
      <c r="E6" s="36"/>
      <c r="F6" s="36"/>
      <c r="G6" s="36"/>
      <c r="H6" s="36"/>
      <c r="I6" s="36"/>
      <c r="J6" s="36"/>
      <c r="K6" s="36"/>
    </row>
    <row r="7" spans="1:11" ht="14.45" x14ac:dyDescent="0.3">
      <c r="A7" s="36"/>
      <c r="B7" s="36" t="s">
        <v>94</v>
      </c>
      <c r="C7" s="36">
        <v>5</v>
      </c>
      <c r="D7" s="36"/>
      <c r="E7" s="36">
        <f>153.5-144.5</f>
        <v>9</v>
      </c>
      <c r="F7" s="36"/>
      <c r="G7" s="36"/>
      <c r="H7" s="36"/>
      <c r="I7" s="36"/>
      <c r="J7" s="36"/>
      <c r="K7" s="36"/>
    </row>
    <row r="8" spans="1:11" ht="14.45" x14ac:dyDescent="0.3">
      <c r="A8" s="36"/>
      <c r="B8" s="36" t="s">
        <v>95</v>
      </c>
      <c r="C8" s="36">
        <v>4</v>
      </c>
      <c r="D8" s="36"/>
      <c r="E8" s="36"/>
      <c r="F8" s="36"/>
      <c r="G8" s="36"/>
      <c r="H8" s="36"/>
      <c r="I8" s="36"/>
      <c r="J8" s="36"/>
      <c r="K8" s="36"/>
    </row>
    <row r="9" spans="1:11" ht="14.45" x14ac:dyDescent="0.3">
      <c r="A9" s="36"/>
      <c r="B9" s="36" t="s">
        <v>96</v>
      </c>
      <c r="C9" s="37">
        <v>2</v>
      </c>
      <c r="D9" s="36"/>
      <c r="E9" s="36">
        <f>3/12</f>
        <v>0.25</v>
      </c>
      <c r="F9" s="36">
        <f>E9*E7</f>
        <v>2.25</v>
      </c>
      <c r="G9" s="36"/>
      <c r="H9" s="36"/>
      <c r="I9" s="36"/>
      <c r="J9" s="36"/>
      <c r="K9" s="36"/>
    </row>
    <row r="10" spans="1:11" ht="14.45" x14ac:dyDescent="0.3">
      <c r="A10" s="36"/>
      <c r="B10" s="36"/>
      <c r="C10" s="36">
        <f>SUM(C3:C9)</f>
        <v>40</v>
      </c>
      <c r="D10" s="36"/>
      <c r="E10" s="36"/>
      <c r="F10" s="36"/>
      <c r="G10" s="36"/>
      <c r="H10" s="36"/>
      <c r="I10" s="36"/>
      <c r="J10" s="36"/>
      <c r="K10" s="36"/>
    </row>
    <row r="11" spans="1:11" ht="14.45" x14ac:dyDescent="0.3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4.45" x14ac:dyDescent="0.3">
      <c r="A12" s="36"/>
      <c r="B12" s="36"/>
      <c r="C12" s="36">
        <f>C10/2</f>
        <v>20</v>
      </c>
      <c r="D12" s="36"/>
      <c r="E12" s="36"/>
      <c r="F12" s="36"/>
      <c r="G12" s="36"/>
      <c r="H12" s="36"/>
      <c r="I12" s="36"/>
      <c r="J12" s="36"/>
      <c r="K12" s="36"/>
    </row>
    <row r="13" spans="1:11" ht="14.45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14.45" x14ac:dyDescent="0.3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ht="14.45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x14ac:dyDescent="0.25">
      <c r="A16" s="36" t="s">
        <v>98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ht="14.45" x14ac:dyDescent="0.3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ht="14.45" x14ac:dyDescent="0.3">
      <c r="A18" s="36" t="s">
        <v>99</v>
      </c>
      <c r="B18" s="36"/>
      <c r="C18" s="36"/>
      <c r="D18" s="36">
        <f>3+5+9</f>
        <v>17</v>
      </c>
      <c r="E18" s="36"/>
      <c r="F18" s="36"/>
      <c r="G18" s="36"/>
      <c r="H18" s="36"/>
      <c r="I18" s="36"/>
      <c r="J18" s="36"/>
      <c r="K18" s="36"/>
    </row>
    <row r="19" spans="1:11" ht="14.45" x14ac:dyDescent="0.3">
      <c r="A19" s="36" t="s">
        <v>100</v>
      </c>
      <c r="B19" s="36"/>
      <c r="C19" s="36"/>
      <c r="D19" s="36">
        <f>3+5+9+12</f>
        <v>29</v>
      </c>
      <c r="E19" s="36"/>
      <c r="F19" s="36"/>
      <c r="G19" s="36"/>
      <c r="H19" s="36"/>
      <c r="I19" s="36"/>
      <c r="J19" s="36"/>
      <c r="K19" s="36"/>
    </row>
    <row r="20" spans="1:11" ht="14.45" x14ac:dyDescent="0.3">
      <c r="A20" s="36" t="s">
        <v>101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 ht="14.45" x14ac:dyDescent="0.3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1:11" ht="14.45" x14ac:dyDescent="0.3">
      <c r="A22" s="36" t="s">
        <v>102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ht="14.45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4.45" x14ac:dyDescent="0.3">
      <c r="A24" s="36" t="s">
        <v>103</v>
      </c>
      <c r="B24" s="36">
        <v>144.5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1:11" ht="14.45" x14ac:dyDescent="0.3">
      <c r="A25" s="36" t="s">
        <v>104</v>
      </c>
      <c r="B25" s="36">
        <v>40</v>
      </c>
      <c r="C25" s="36"/>
      <c r="D25" s="36"/>
      <c r="E25" s="36"/>
      <c r="F25" s="36"/>
      <c r="G25" s="36"/>
      <c r="H25" s="36"/>
      <c r="I25" s="36"/>
      <c r="J25" s="36"/>
      <c r="K25" s="36"/>
    </row>
    <row r="26" spans="1:11" ht="14.45" x14ac:dyDescent="0.3">
      <c r="A26" s="36" t="s">
        <v>105</v>
      </c>
      <c r="B26" s="36"/>
      <c r="C26" s="36"/>
      <c r="D26" s="36">
        <f>D18</f>
        <v>17</v>
      </c>
      <c r="E26" s="36"/>
      <c r="F26" s="36"/>
      <c r="G26" s="36"/>
      <c r="H26" s="36"/>
      <c r="I26" s="36"/>
      <c r="J26" s="36"/>
      <c r="K26" s="36"/>
    </row>
    <row r="27" spans="1:11" ht="14.45" x14ac:dyDescent="0.3">
      <c r="A27" s="36" t="s">
        <v>106</v>
      </c>
      <c r="B27" s="36"/>
      <c r="C27" s="36"/>
      <c r="D27" s="36">
        <v>12</v>
      </c>
      <c r="E27" s="36"/>
      <c r="F27" s="36"/>
      <c r="G27" s="36"/>
      <c r="H27" s="36"/>
      <c r="I27" s="36"/>
      <c r="J27" s="36"/>
      <c r="K27" s="36"/>
    </row>
    <row r="28" spans="1:11" x14ac:dyDescent="0.25">
      <c r="A28" s="36" t="s">
        <v>107</v>
      </c>
      <c r="B28" s="36" t="s">
        <v>108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1:11" ht="14.45" x14ac:dyDescent="0.3">
      <c r="A29" s="36"/>
      <c r="B29" s="36">
        <v>153.5</v>
      </c>
      <c r="C29" s="36" t="s">
        <v>21</v>
      </c>
      <c r="D29" s="36">
        <v>144.5</v>
      </c>
      <c r="E29" s="52">
        <f>B29-D29</f>
        <v>9</v>
      </c>
      <c r="F29" s="36"/>
      <c r="G29" s="36"/>
      <c r="H29" s="36"/>
      <c r="I29" s="36"/>
      <c r="J29" s="36"/>
      <c r="K29" s="36"/>
    </row>
    <row r="30" spans="1:11" ht="14.45" x14ac:dyDescent="0.3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14.45" x14ac:dyDescent="0.3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14.45" x14ac:dyDescent="0.3">
      <c r="A32" s="36"/>
      <c r="B32" s="36"/>
      <c r="C32" s="36">
        <f>B24</f>
        <v>144.5</v>
      </c>
      <c r="D32" s="36" t="s">
        <v>63</v>
      </c>
      <c r="E32" s="37">
        <f>B25</f>
        <v>40</v>
      </c>
      <c r="F32" s="36" t="s">
        <v>21</v>
      </c>
      <c r="G32" s="36">
        <f>D26</f>
        <v>17</v>
      </c>
      <c r="H32" s="36"/>
      <c r="I32" s="36"/>
      <c r="J32" s="36"/>
      <c r="K32" s="36"/>
    </row>
    <row r="33" spans="1:15" ht="14.45" x14ac:dyDescent="0.3">
      <c r="A33" s="36"/>
      <c r="B33" s="36"/>
      <c r="C33" s="36"/>
      <c r="D33" s="36"/>
      <c r="E33" s="53">
        <v>2</v>
      </c>
      <c r="F33" s="37"/>
      <c r="G33" s="37"/>
      <c r="H33" s="36" t="s">
        <v>109</v>
      </c>
      <c r="I33" s="36">
        <f>E29</f>
        <v>9</v>
      </c>
      <c r="J33" s="36"/>
      <c r="K33" s="36"/>
    </row>
    <row r="34" spans="1:15" ht="14.45" x14ac:dyDescent="0.3">
      <c r="A34" s="36"/>
      <c r="B34" s="36"/>
      <c r="C34" s="36"/>
      <c r="D34" s="36"/>
      <c r="E34" s="36"/>
      <c r="F34" s="36">
        <f>D27</f>
        <v>12</v>
      </c>
      <c r="G34" s="36"/>
      <c r="H34" s="36"/>
      <c r="I34" s="36"/>
      <c r="J34" s="36"/>
      <c r="K34" s="36"/>
    </row>
    <row r="35" spans="1:15" ht="14.45" x14ac:dyDescent="0.3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5" ht="14.45" x14ac:dyDescent="0.3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</row>
    <row r="37" spans="1:15" ht="14.45" x14ac:dyDescent="0.3">
      <c r="A37" s="36"/>
      <c r="B37" s="36"/>
      <c r="C37" s="36">
        <f>C32</f>
        <v>144.5</v>
      </c>
      <c r="D37" s="36" t="s">
        <v>63</v>
      </c>
      <c r="E37" s="37">
        <f>40/2</f>
        <v>20</v>
      </c>
      <c r="F37" s="37" t="s">
        <v>21</v>
      </c>
      <c r="G37" s="37">
        <v>17</v>
      </c>
      <c r="H37" s="36" t="s">
        <v>109</v>
      </c>
      <c r="I37" s="36">
        <v>9</v>
      </c>
      <c r="J37" s="36"/>
      <c r="K37" s="36"/>
    </row>
    <row r="38" spans="1:15" ht="14.45" x14ac:dyDescent="0.3">
      <c r="A38" s="36"/>
      <c r="B38" s="36"/>
      <c r="C38" s="36"/>
      <c r="D38" s="36"/>
      <c r="E38" s="36"/>
      <c r="F38" s="36">
        <v>12</v>
      </c>
      <c r="G38" s="36"/>
      <c r="H38" s="36"/>
      <c r="I38" s="36"/>
      <c r="J38" s="36"/>
      <c r="K38" s="36"/>
    </row>
    <row r="39" spans="1:15" ht="14.45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5" ht="14.45" x14ac:dyDescent="0.3">
      <c r="A40" s="36"/>
      <c r="B40" s="36"/>
      <c r="C40" s="36">
        <v>144.5</v>
      </c>
      <c r="D40" s="36" t="s">
        <v>63</v>
      </c>
      <c r="E40" s="36">
        <f>(20-17)/12</f>
        <v>0.25</v>
      </c>
      <c r="F40" s="36" t="s">
        <v>109</v>
      </c>
      <c r="G40" s="36">
        <v>9</v>
      </c>
      <c r="H40" s="36"/>
      <c r="I40" s="36"/>
      <c r="J40" s="36"/>
      <c r="K40" s="36"/>
    </row>
    <row r="41" spans="1:15" ht="14.45" x14ac:dyDescent="0.3">
      <c r="A41" s="36"/>
      <c r="B41" s="36"/>
      <c r="C41" s="36">
        <v>144.5</v>
      </c>
      <c r="D41" s="36" t="s">
        <v>63</v>
      </c>
      <c r="E41" s="36">
        <f>E40*9</f>
        <v>2.25</v>
      </c>
      <c r="F41" s="36" t="s">
        <v>14</v>
      </c>
      <c r="G41" s="36">
        <f>C41+E41</f>
        <v>146.75</v>
      </c>
      <c r="H41" s="36"/>
      <c r="I41" s="36"/>
      <c r="J41" s="36"/>
      <c r="K41" s="36"/>
    </row>
    <row r="42" spans="1:15" ht="14.45" x14ac:dyDescent="0.3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5" ht="14.45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5" ht="14.45" x14ac:dyDescent="0.3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5" ht="14.45" x14ac:dyDescent="0.3">
      <c r="B45" s="61" t="s">
        <v>111</v>
      </c>
      <c r="C45" s="66" t="s">
        <v>110</v>
      </c>
      <c r="D45" s="66" t="s">
        <v>13</v>
      </c>
      <c r="E45" s="66" t="s">
        <v>15</v>
      </c>
      <c r="F45" s="36"/>
      <c r="G45" s="36"/>
      <c r="H45" s="36" t="s">
        <v>115</v>
      </c>
      <c r="I45" s="36" t="s">
        <v>116</v>
      </c>
      <c r="J45" s="59" t="s">
        <v>19</v>
      </c>
      <c r="K45" s="59" t="s">
        <v>126</v>
      </c>
      <c r="L45" s="59" t="s">
        <v>133</v>
      </c>
      <c r="M45" s="59" t="s">
        <v>134</v>
      </c>
      <c r="N45" s="65" t="s">
        <v>137</v>
      </c>
      <c r="O45" s="65" t="s">
        <v>135</v>
      </c>
    </row>
    <row r="46" spans="1:15" ht="14.45" x14ac:dyDescent="0.3">
      <c r="B46" s="61">
        <v>1</v>
      </c>
      <c r="C46" s="66">
        <v>10</v>
      </c>
      <c r="D46" s="66">
        <v>20</v>
      </c>
      <c r="E46" s="66">
        <v>10</v>
      </c>
      <c r="F46" s="36"/>
      <c r="G46" s="36"/>
      <c r="H46" s="36">
        <f>(C46+D46)/2</f>
        <v>15</v>
      </c>
      <c r="I46" s="36">
        <f>H46*E46</f>
        <v>150</v>
      </c>
      <c r="J46" s="36"/>
      <c r="K46" s="36"/>
      <c r="L46" s="36">
        <f>40.15-H46</f>
        <v>25.15</v>
      </c>
      <c r="M46">
        <f>POWER(L46,2)</f>
        <v>632.52249999999992</v>
      </c>
      <c r="N46">
        <f>M46*E46</f>
        <v>6325.2249999999995</v>
      </c>
      <c r="O46">
        <f>L46*E46</f>
        <v>251.5</v>
      </c>
    </row>
    <row r="47" spans="1:15" ht="14.45" x14ac:dyDescent="0.3">
      <c r="B47" s="61">
        <v>2</v>
      </c>
      <c r="C47" s="66">
        <v>20</v>
      </c>
      <c r="D47" s="66">
        <v>30</v>
      </c>
      <c r="E47" s="66">
        <v>15</v>
      </c>
      <c r="F47" s="36"/>
      <c r="G47" s="36"/>
      <c r="H47" s="36">
        <f t="shared" ref="H47:H52" si="0">(C47+D47)/2</f>
        <v>25</v>
      </c>
      <c r="I47" s="36">
        <f t="shared" ref="I47:I51" si="1">H47*E47</f>
        <v>375</v>
      </c>
      <c r="J47" s="36"/>
      <c r="K47" s="36"/>
      <c r="L47" s="36">
        <f t="shared" ref="L47:L48" si="2">40.15-H47</f>
        <v>15.149999999999999</v>
      </c>
      <c r="M47">
        <f t="shared" ref="M47:M52" si="3">POWER(L47,2)</f>
        <v>229.52249999999995</v>
      </c>
      <c r="N47">
        <f t="shared" ref="N47:N52" si="4">M47*E47</f>
        <v>3442.8374999999992</v>
      </c>
      <c r="O47">
        <f t="shared" ref="O47:O52" si="5">L47*E47</f>
        <v>227.24999999999997</v>
      </c>
    </row>
    <row r="48" spans="1:15" ht="14.45" x14ac:dyDescent="0.3">
      <c r="B48" s="61">
        <v>3</v>
      </c>
      <c r="C48" s="66">
        <v>30</v>
      </c>
      <c r="D48" s="66">
        <v>40</v>
      </c>
      <c r="E48" s="66">
        <v>20</v>
      </c>
      <c r="F48" s="36">
        <f>SUM(E46:E48)</f>
        <v>45</v>
      </c>
      <c r="G48" s="36"/>
      <c r="H48" s="36">
        <f t="shared" si="0"/>
        <v>35</v>
      </c>
      <c r="I48" s="36">
        <f t="shared" si="1"/>
        <v>700</v>
      </c>
      <c r="J48" s="36"/>
      <c r="K48" s="36"/>
      <c r="L48" s="36">
        <f t="shared" si="2"/>
        <v>5.1499999999999986</v>
      </c>
      <c r="M48">
        <f t="shared" si="3"/>
        <v>26.522499999999987</v>
      </c>
      <c r="N48">
        <f t="shared" si="4"/>
        <v>530.4499999999997</v>
      </c>
      <c r="O48">
        <f t="shared" si="5"/>
        <v>102.99999999999997</v>
      </c>
    </row>
    <row r="49" spans="1:17" ht="14.45" x14ac:dyDescent="0.3">
      <c r="B49" s="61">
        <v>4</v>
      </c>
      <c r="C49" s="66">
        <v>40</v>
      </c>
      <c r="D49" s="66">
        <v>50</v>
      </c>
      <c r="E49" s="66">
        <v>32</v>
      </c>
      <c r="F49" s="36"/>
      <c r="G49" s="36"/>
      <c r="H49" s="36">
        <f t="shared" si="0"/>
        <v>45</v>
      </c>
      <c r="I49" s="36">
        <f t="shared" si="1"/>
        <v>1440</v>
      </c>
      <c r="J49" s="36"/>
      <c r="K49" s="36"/>
      <c r="L49" s="36">
        <f>H49-40.15</f>
        <v>4.8500000000000014</v>
      </c>
      <c r="M49">
        <f t="shared" si="3"/>
        <v>23.522500000000015</v>
      </c>
      <c r="N49">
        <f t="shared" si="4"/>
        <v>752.72000000000048</v>
      </c>
      <c r="O49">
        <f t="shared" si="5"/>
        <v>155.20000000000005</v>
      </c>
    </row>
    <row r="50" spans="1:17" ht="14.45" x14ac:dyDescent="0.3">
      <c r="B50" s="61">
        <v>5</v>
      </c>
      <c r="C50" s="66">
        <v>50</v>
      </c>
      <c r="D50" s="66">
        <v>60</v>
      </c>
      <c r="E50" s="66">
        <v>8</v>
      </c>
      <c r="F50" s="36"/>
      <c r="G50" s="36"/>
      <c r="H50" s="36">
        <f t="shared" si="0"/>
        <v>55</v>
      </c>
      <c r="I50" s="36">
        <f t="shared" si="1"/>
        <v>440</v>
      </c>
      <c r="J50" s="36"/>
      <c r="K50" s="36"/>
      <c r="L50" s="36">
        <f t="shared" ref="L50:L51" si="6">H50-40.15</f>
        <v>14.850000000000001</v>
      </c>
      <c r="M50">
        <f t="shared" si="3"/>
        <v>220.52250000000004</v>
      </c>
      <c r="N50">
        <f t="shared" si="4"/>
        <v>1764.1800000000003</v>
      </c>
      <c r="O50">
        <f t="shared" si="5"/>
        <v>118.80000000000001</v>
      </c>
    </row>
    <row r="51" spans="1:17" ht="14.45" x14ac:dyDescent="0.3">
      <c r="B51" s="61">
        <v>6</v>
      </c>
      <c r="C51" s="66">
        <v>60</v>
      </c>
      <c r="D51" s="66">
        <v>70</v>
      </c>
      <c r="E51" s="66">
        <v>4</v>
      </c>
      <c r="F51" s="36"/>
      <c r="G51" s="36"/>
      <c r="H51" s="36">
        <f t="shared" si="0"/>
        <v>65</v>
      </c>
      <c r="I51" s="36">
        <f t="shared" si="1"/>
        <v>260</v>
      </c>
      <c r="J51" s="36"/>
      <c r="K51" s="36"/>
      <c r="L51" s="36">
        <f t="shared" si="6"/>
        <v>24.85</v>
      </c>
      <c r="M51">
        <f t="shared" si="3"/>
        <v>617.52250000000004</v>
      </c>
      <c r="N51">
        <f t="shared" si="4"/>
        <v>2470.09</v>
      </c>
      <c r="O51">
        <f t="shared" si="5"/>
        <v>99.4</v>
      </c>
    </row>
    <row r="52" spans="1:17" ht="14.45" x14ac:dyDescent="0.3">
      <c r="A52" s="36"/>
      <c r="B52" s="66">
        <v>7</v>
      </c>
      <c r="C52" s="66">
        <v>70</v>
      </c>
      <c r="D52" s="66">
        <v>80</v>
      </c>
      <c r="E52" s="66">
        <v>6</v>
      </c>
      <c r="F52" s="36"/>
      <c r="G52" s="36"/>
      <c r="H52" s="36">
        <f t="shared" si="0"/>
        <v>75</v>
      </c>
      <c r="I52" s="37">
        <f>H52*E52</f>
        <v>450</v>
      </c>
      <c r="J52" s="36"/>
      <c r="K52" s="36"/>
      <c r="L52" s="36">
        <f>H52-40.15</f>
        <v>34.85</v>
      </c>
      <c r="M52">
        <f t="shared" si="3"/>
        <v>1214.5225</v>
      </c>
      <c r="N52" s="1">
        <f t="shared" si="4"/>
        <v>7287.1350000000002</v>
      </c>
      <c r="O52" s="1">
        <f t="shared" si="5"/>
        <v>209.10000000000002</v>
      </c>
    </row>
    <row r="53" spans="1:17" ht="14.45" x14ac:dyDescent="0.3">
      <c r="A53" s="36"/>
      <c r="B53" s="36"/>
      <c r="C53" s="36"/>
      <c r="D53" s="36"/>
      <c r="E53" s="36">
        <f>SUM(E46:E52)</f>
        <v>95</v>
      </c>
      <c r="F53" s="36"/>
      <c r="G53" s="36"/>
      <c r="H53" s="36"/>
      <c r="I53" s="36">
        <f>SUM(I46:I52)</f>
        <v>3815</v>
      </c>
      <c r="J53" s="36"/>
      <c r="K53" s="63">
        <f>I53/95</f>
        <v>40.157894736842103</v>
      </c>
      <c r="N53">
        <f>SUM(N46:N52)</f>
        <v>22572.637499999997</v>
      </c>
      <c r="O53">
        <f>SUM(O46:O52)</f>
        <v>1164.25</v>
      </c>
    </row>
    <row r="54" spans="1:17" ht="14.45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 t="s">
        <v>51</v>
      </c>
    </row>
    <row r="55" spans="1:17" ht="14.45" x14ac:dyDescent="0.3">
      <c r="A55" s="36"/>
      <c r="B55" s="37" t="s">
        <v>104</v>
      </c>
      <c r="C55" s="37">
        <f>E53</f>
        <v>95</v>
      </c>
      <c r="D55" s="36">
        <f>C55/C56</f>
        <v>47.5</v>
      </c>
      <c r="E55" s="36"/>
      <c r="F55" s="36"/>
      <c r="G55" s="36"/>
      <c r="H55" s="36"/>
      <c r="I55" s="36"/>
      <c r="J55" s="36"/>
      <c r="K55" s="36"/>
    </row>
    <row r="56" spans="1:17" ht="14.45" x14ac:dyDescent="0.3">
      <c r="A56" s="36"/>
      <c r="B56" s="36">
        <v>2</v>
      </c>
      <c r="C56" s="36">
        <f>B56</f>
        <v>2</v>
      </c>
      <c r="D56" s="36"/>
      <c r="E56" s="36"/>
      <c r="F56" s="36">
        <f>47.5-45</f>
        <v>2.5</v>
      </c>
      <c r="G56" s="36"/>
      <c r="H56" s="36"/>
      <c r="I56" s="36"/>
      <c r="J56" s="36"/>
      <c r="K56" s="36"/>
      <c r="O56" s="1">
        <f>O53</f>
        <v>1164.25</v>
      </c>
      <c r="P56" s="8">
        <f>O56/O57</f>
        <v>12.255263157894737</v>
      </c>
      <c r="Q56" t="s">
        <v>147</v>
      </c>
    </row>
    <row r="57" spans="1:17" ht="14.45" x14ac:dyDescent="0.3">
      <c r="A57" s="36"/>
      <c r="B57" s="36"/>
      <c r="C57" s="36"/>
      <c r="D57" s="36"/>
      <c r="E57" s="36"/>
      <c r="F57" s="36"/>
      <c r="G57" s="36"/>
      <c r="H57" s="36"/>
      <c r="I57" s="36">
        <f>95/2</f>
        <v>47.5</v>
      </c>
      <c r="J57" s="36"/>
      <c r="K57" s="36"/>
      <c r="O57" s="36">
        <f>E53</f>
        <v>95</v>
      </c>
    </row>
    <row r="58" spans="1:17" ht="14.45" x14ac:dyDescent="0.3">
      <c r="A58" s="36"/>
      <c r="B58" s="36"/>
      <c r="C58" s="36">
        <v>39.5</v>
      </c>
      <c r="D58" s="36" t="s">
        <v>63</v>
      </c>
      <c r="E58" s="37">
        <f>D55</f>
        <v>47.5</v>
      </c>
      <c r="F58" s="37" t="s">
        <v>21</v>
      </c>
      <c r="G58" s="37">
        <v>45</v>
      </c>
      <c r="H58" s="36"/>
      <c r="I58" s="36">
        <f>50.5-39.5</f>
        <v>11</v>
      </c>
      <c r="J58" s="36"/>
      <c r="K58" s="36"/>
    </row>
    <row r="59" spans="1:17" ht="14.45" x14ac:dyDescent="0.3">
      <c r="A59" s="36"/>
      <c r="B59" s="36"/>
      <c r="C59" s="36"/>
      <c r="D59" s="36"/>
      <c r="E59" s="36"/>
      <c r="F59" s="36">
        <v>32</v>
      </c>
      <c r="G59" s="36"/>
      <c r="H59" s="36"/>
      <c r="I59" s="36"/>
      <c r="J59" s="36"/>
      <c r="K59" s="36"/>
      <c r="N59" s="1">
        <f>N53</f>
        <v>22572.637499999997</v>
      </c>
      <c r="O59">
        <f>N59/N60</f>
        <v>237.60671052631577</v>
      </c>
      <c r="P59" s="8">
        <f>SQRT(O59)</f>
        <v>15.414496765263397</v>
      </c>
      <c r="Q59" t="s">
        <v>148</v>
      </c>
    </row>
    <row r="60" spans="1:17" ht="14.45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N60" s="36">
        <f>O57</f>
        <v>95</v>
      </c>
    </row>
    <row r="61" spans="1:17" ht="14.45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P61" s="8">
        <f>POWER(P59,2)</f>
        <v>237.60671052631574</v>
      </c>
      <c r="Q61" t="s">
        <v>149</v>
      </c>
    </row>
    <row r="62" spans="1:17" ht="14.45" x14ac:dyDescent="0.3">
      <c r="A62" s="36"/>
      <c r="B62" s="36"/>
      <c r="C62" s="36"/>
      <c r="D62" s="36"/>
      <c r="E62" s="62">
        <f>(47.5-45)/32</f>
        <v>7.8125E-2</v>
      </c>
      <c r="F62" s="36">
        <f>I58</f>
        <v>11</v>
      </c>
      <c r="G62" s="36"/>
      <c r="H62" s="36"/>
      <c r="I62" s="36"/>
      <c r="J62" s="36">
        <f>0.078125*11</f>
        <v>0.859375</v>
      </c>
      <c r="K62" s="36"/>
    </row>
    <row r="63" spans="1:17" ht="14.45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>
        <f>J62+39.5</f>
        <v>40.359375</v>
      </c>
      <c r="K63" s="36"/>
    </row>
    <row r="64" spans="1:17" ht="14.45" x14ac:dyDescent="0.3">
      <c r="A64" s="36"/>
      <c r="B64" s="36"/>
      <c r="C64" s="36">
        <f>C58</f>
        <v>39.5</v>
      </c>
      <c r="D64" s="36" t="s">
        <v>63</v>
      </c>
      <c r="E64" s="36">
        <f>E62*F62</f>
        <v>0.859375</v>
      </c>
      <c r="F64" s="36" t="s">
        <v>14</v>
      </c>
      <c r="G64" s="64">
        <f>C64+E64</f>
        <v>40.359375</v>
      </c>
      <c r="H64" s="36" t="s">
        <v>117</v>
      </c>
      <c r="I64" s="36"/>
      <c r="J64" s="36"/>
      <c r="K64" s="36"/>
    </row>
    <row r="65" spans="1:12" ht="14.45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2" ht="14.45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2" ht="14.45" x14ac:dyDescent="0.3">
      <c r="A67" s="36"/>
      <c r="B67" s="36" t="s">
        <v>112</v>
      </c>
      <c r="C67" s="36"/>
      <c r="D67" s="36"/>
      <c r="E67" s="36"/>
      <c r="F67" s="36"/>
      <c r="G67" s="36"/>
      <c r="H67" s="36"/>
      <c r="I67" s="36"/>
      <c r="J67" s="36"/>
      <c r="K67" s="36"/>
    </row>
    <row r="68" spans="1:12" ht="14.45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 t="s">
        <v>150</v>
      </c>
      <c r="L68" s="67">
        <f>K53</f>
        <v>40.157894736842103</v>
      </c>
    </row>
    <row r="69" spans="1:12" ht="14.45" x14ac:dyDescent="0.3">
      <c r="A69" s="36"/>
      <c r="B69" s="36">
        <f>C58</f>
        <v>39.5</v>
      </c>
      <c r="C69" s="36" t="s">
        <v>63</v>
      </c>
      <c r="D69" s="37" t="s">
        <v>113</v>
      </c>
      <c r="E69" s="36" t="s">
        <v>114</v>
      </c>
      <c r="F69" s="36"/>
      <c r="G69" s="36"/>
      <c r="H69" s="36"/>
      <c r="I69" s="36"/>
      <c r="J69" s="36"/>
      <c r="K69" s="36" t="s">
        <v>151</v>
      </c>
      <c r="L69" s="36">
        <f>E94</f>
        <v>43.333333333333336</v>
      </c>
    </row>
    <row r="70" spans="1:12" ht="14.45" x14ac:dyDescent="0.3">
      <c r="A70" s="36"/>
      <c r="B70" s="36"/>
      <c r="C70" s="36"/>
      <c r="D70" s="36">
        <v>32</v>
      </c>
      <c r="E70" s="36"/>
      <c r="F70" s="36"/>
      <c r="G70" s="36"/>
      <c r="H70" s="36"/>
      <c r="I70" s="36"/>
      <c r="J70" s="36"/>
      <c r="K70" s="36" t="s">
        <v>152</v>
      </c>
      <c r="L70">
        <f>P56</f>
        <v>12.255263157894737</v>
      </c>
    </row>
    <row r="71" spans="1:12" ht="14.45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2" ht="14.45" x14ac:dyDescent="0.3">
      <c r="A72" s="36"/>
      <c r="B72" s="36"/>
      <c r="C72" s="36"/>
      <c r="D72" s="36">
        <f>(47.5-45)/32</f>
        <v>7.8125E-2</v>
      </c>
      <c r="E72" s="36">
        <f>50.5-39.5</f>
        <v>11</v>
      </c>
      <c r="F72" s="36"/>
      <c r="G72" s="36"/>
      <c r="H72" s="36"/>
      <c r="I72" s="36"/>
      <c r="J72" s="36"/>
      <c r="K72" s="36"/>
    </row>
    <row r="73" spans="1:12" ht="14.45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2" ht="14.45" x14ac:dyDescent="0.3">
      <c r="A74" s="36"/>
      <c r="B74" s="36">
        <f>B69</f>
        <v>39.5</v>
      </c>
      <c r="C74" s="36" t="s">
        <v>63</v>
      </c>
      <c r="D74" s="55">
        <f>D72*E72</f>
        <v>0.859375</v>
      </c>
      <c r="E74" s="36" t="s">
        <v>14</v>
      </c>
      <c r="F74" s="54">
        <f>B74+D74</f>
        <v>40.359375</v>
      </c>
      <c r="G74" s="36" t="s">
        <v>117</v>
      </c>
      <c r="H74" s="36"/>
      <c r="I74" s="36"/>
      <c r="J74" s="36"/>
      <c r="K74" s="36"/>
    </row>
    <row r="75" spans="1:12" ht="14.45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2" ht="14.45" x14ac:dyDescent="0.3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2" ht="14.45" x14ac:dyDescent="0.3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36"/>
    </row>
    <row r="78" spans="1:12" ht="14.45" x14ac:dyDescent="0.3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1:12" ht="14.45" x14ac:dyDescent="0.3">
      <c r="A79" s="36"/>
      <c r="B79" s="36" t="s">
        <v>24</v>
      </c>
      <c r="C79" s="36"/>
      <c r="D79" s="37">
        <f>I53</f>
        <v>3815</v>
      </c>
      <c r="E79" s="36">
        <f>D79/D80</f>
        <v>40.157894736842103</v>
      </c>
      <c r="F79" s="36"/>
      <c r="G79" s="36"/>
      <c r="H79" s="36"/>
      <c r="I79" s="36"/>
      <c r="J79" s="36"/>
      <c r="K79" s="36"/>
    </row>
    <row r="80" spans="1:12" ht="14.45" x14ac:dyDescent="0.3">
      <c r="A80" s="36"/>
      <c r="B80" s="36"/>
      <c r="C80" s="36"/>
      <c r="D80" s="36">
        <f>E53</f>
        <v>95</v>
      </c>
      <c r="E80" s="36"/>
      <c r="F80" s="36"/>
      <c r="G80" s="36"/>
      <c r="H80" s="36"/>
      <c r="I80" s="36"/>
      <c r="J80" s="36"/>
      <c r="K80" s="36"/>
    </row>
    <row r="81" spans="1:11" ht="14.45" x14ac:dyDescent="0.3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1:11" ht="14.45" x14ac:dyDescent="0.3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1" ht="14.45" x14ac:dyDescent="0.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36"/>
    </row>
    <row r="84" spans="1:11" ht="14.45" x14ac:dyDescent="0.3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1:11" ht="14.45" x14ac:dyDescent="0.3">
      <c r="A85" s="36"/>
      <c r="B85" s="36" t="s">
        <v>43</v>
      </c>
      <c r="C85" s="36"/>
      <c r="D85" s="36"/>
      <c r="E85" s="36"/>
      <c r="F85" s="36"/>
      <c r="G85" s="36"/>
      <c r="H85" s="36"/>
      <c r="I85" s="36"/>
      <c r="J85" s="36"/>
      <c r="K85" s="36"/>
    </row>
    <row r="86" spans="1:11" ht="14.45" x14ac:dyDescent="0.3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1:11" ht="14.45" x14ac:dyDescent="0.3">
      <c r="A87" s="36"/>
      <c r="B87" s="52">
        <v>40</v>
      </c>
      <c r="C87" s="52">
        <v>50</v>
      </c>
      <c r="D87" s="52">
        <v>32</v>
      </c>
      <c r="E87" s="36"/>
      <c r="F87" s="36"/>
      <c r="G87" s="36"/>
      <c r="H87" s="36"/>
      <c r="I87" s="36"/>
      <c r="J87" s="36"/>
      <c r="K87" s="36"/>
    </row>
    <row r="88" spans="1:11" ht="14.45" x14ac:dyDescent="0.3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 ht="14.45" x14ac:dyDescent="0.3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 ht="14.45" x14ac:dyDescent="0.3">
      <c r="A90" s="36"/>
      <c r="B90" s="36" t="s">
        <v>67</v>
      </c>
      <c r="C90" s="36">
        <f>32-20</f>
        <v>12</v>
      </c>
      <c r="D90" s="36">
        <v>10</v>
      </c>
      <c r="E90" s="36"/>
      <c r="F90" s="36"/>
      <c r="G90" s="36"/>
      <c r="H90" s="36"/>
      <c r="I90" s="36"/>
      <c r="J90" s="36"/>
      <c r="K90" s="36"/>
    </row>
    <row r="91" spans="1:11" ht="14.45" x14ac:dyDescent="0.3">
      <c r="A91" s="36"/>
      <c r="B91" s="36"/>
      <c r="C91" s="36">
        <f>(2*32)-20-8</f>
        <v>36</v>
      </c>
      <c r="D91" s="36"/>
      <c r="E91" s="36"/>
      <c r="F91" s="36">
        <f>2*32</f>
        <v>64</v>
      </c>
      <c r="G91" s="36">
        <f>F91-20-8</f>
        <v>36</v>
      </c>
      <c r="H91" s="36"/>
      <c r="I91" s="36"/>
      <c r="J91" s="36"/>
      <c r="K91" s="36"/>
    </row>
    <row r="92" spans="1:11" ht="14.45" x14ac:dyDescent="0.3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1" ht="14.45" x14ac:dyDescent="0.3">
      <c r="A93" s="36"/>
      <c r="B93" s="36"/>
      <c r="C93" s="36">
        <f>C90/C91</f>
        <v>0.33333333333333331</v>
      </c>
      <c r="D93" s="36">
        <f>D90</f>
        <v>10</v>
      </c>
      <c r="E93" s="36"/>
      <c r="F93" s="36"/>
      <c r="G93" s="36"/>
      <c r="H93" s="36"/>
      <c r="I93" s="36"/>
      <c r="J93" s="36"/>
      <c r="K93" s="36"/>
    </row>
    <row r="94" spans="1:11" ht="14.45" x14ac:dyDescent="0.3">
      <c r="A94" s="36"/>
      <c r="B94" s="36">
        <v>40</v>
      </c>
      <c r="C94" s="36">
        <f>C93*D93</f>
        <v>3.333333333333333</v>
      </c>
      <c r="D94" s="36" t="s">
        <v>14</v>
      </c>
      <c r="E94" s="52">
        <f>B94+C94</f>
        <v>43.333333333333336</v>
      </c>
      <c r="F94" s="36"/>
      <c r="G94" s="36"/>
      <c r="H94" s="36"/>
      <c r="I94" s="36"/>
      <c r="J94" s="36"/>
      <c r="K94" s="36"/>
    </row>
    <row r="95" spans="1:11" ht="14.45" x14ac:dyDescent="0.3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1:11" ht="14.45" x14ac:dyDescent="0.3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ht="14.45" x14ac:dyDescent="0.3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1:11" ht="14.45" x14ac:dyDescent="0.3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1:11" ht="14.45" x14ac:dyDescent="0.3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1:11" ht="14.45" x14ac:dyDescent="0.3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 ht="14.45" x14ac:dyDescent="0.3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 ht="14.45" x14ac:dyDescent="0.3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 ht="14.45" x14ac:dyDescent="0.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 ht="14.45" x14ac:dyDescent="0.3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 ht="14.45" x14ac:dyDescent="0.3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x14ac:dyDescent="0.2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 x14ac:dyDescent="0.2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 x14ac:dyDescent="0.2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 x14ac:dyDescent="0.2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 x14ac:dyDescent="0.2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 x14ac:dyDescent="0.2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 x14ac:dyDescent="0.2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 x14ac:dyDescent="0.2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 x14ac:dyDescent="0.2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 x14ac:dyDescent="0.2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 x14ac:dyDescent="0.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1:11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1:1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1:11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1:1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1:1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1:11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1:1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1:11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1:11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1:11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1:11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1:11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1:11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1:11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1:1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1:11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1:11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1:11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  <row r="152" spans="1:11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</row>
    <row r="153" spans="1:11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</row>
    <row r="154" spans="1:1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</row>
    <row r="155" spans="1:11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</row>
    <row r="156" spans="1:1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</row>
    <row r="158" spans="1:11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</row>
    <row r="159" spans="1:11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</row>
    <row r="160" spans="1:1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</row>
    <row r="161" spans="1:11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</row>
    <row r="162" spans="1:11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</row>
    <row r="163" spans="1:1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</row>
    <row r="164" spans="1:1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35"/>
  <sheetViews>
    <sheetView topLeftCell="A130" workbookViewId="0">
      <selection activeCell="F139" sqref="F139"/>
    </sheetView>
  </sheetViews>
  <sheetFormatPr baseColWidth="10" defaultRowHeight="15" x14ac:dyDescent="0.25"/>
  <cols>
    <col min="3" max="3" width="3.7109375" customWidth="1"/>
    <col min="4" max="4" width="4.7109375" customWidth="1"/>
    <col min="5" max="5" width="5.42578125" customWidth="1"/>
    <col min="6" max="6" width="12.7109375" customWidth="1"/>
    <col min="7" max="7" width="18.28515625" customWidth="1"/>
    <col min="8" max="8" width="5.42578125" customWidth="1"/>
    <col min="9" max="9" width="7.28515625" customWidth="1"/>
    <col min="10" max="10" width="6.28515625" customWidth="1"/>
    <col min="11" max="11" width="3.7109375" customWidth="1"/>
    <col min="12" max="12" width="9.42578125" customWidth="1"/>
    <col min="13" max="13" width="14.5703125" bestFit="1" customWidth="1"/>
  </cols>
  <sheetData>
    <row r="2" spans="1:21" ht="14.45" x14ac:dyDescent="0.3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N2" s="5">
        <v>1</v>
      </c>
      <c r="O2">
        <v>6</v>
      </c>
    </row>
    <row r="3" spans="1:21" ht="14.45" x14ac:dyDescent="0.3">
      <c r="N3" s="7">
        <v>2</v>
      </c>
      <c r="O3">
        <v>8</v>
      </c>
      <c r="U3">
        <v>2</v>
      </c>
    </row>
    <row r="4" spans="1:21" ht="14.45" x14ac:dyDescent="0.3">
      <c r="A4">
        <v>1</v>
      </c>
      <c r="C4" s="40">
        <v>4</v>
      </c>
      <c r="D4" s="43">
        <v>5</v>
      </c>
      <c r="E4" s="43">
        <v>5</v>
      </c>
      <c r="F4" s="38">
        <v>1</v>
      </c>
      <c r="G4" s="44">
        <v>7</v>
      </c>
      <c r="H4" s="40">
        <v>4</v>
      </c>
      <c r="I4" s="40">
        <v>4</v>
      </c>
      <c r="J4" s="41">
        <v>3</v>
      </c>
      <c r="K4" s="45">
        <v>6</v>
      </c>
      <c r="L4" s="43">
        <v>5</v>
      </c>
      <c r="N4" s="42">
        <v>3</v>
      </c>
      <c r="O4">
        <v>13</v>
      </c>
    </row>
    <row r="5" spans="1:21" ht="14.45" x14ac:dyDescent="0.3">
      <c r="A5">
        <v>2</v>
      </c>
      <c r="C5" s="41">
        <v>3</v>
      </c>
      <c r="D5" s="39">
        <v>2</v>
      </c>
      <c r="E5" s="40">
        <v>4</v>
      </c>
      <c r="F5" s="40">
        <v>4</v>
      </c>
      <c r="G5" s="41">
        <v>3</v>
      </c>
      <c r="H5" s="45">
        <v>6</v>
      </c>
      <c r="I5" s="45">
        <v>6</v>
      </c>
      <c r="J5" s="40">
        <v>4</v>
      </c>
      <c r="K5" s="43">
        <v>5</v>
      </c>
      <c r="L5" s="43">
        <v>5</v>
      </c>
      <c r="N5" s="6">
        <v>4</v>
      </c>
      <c r="O5">
        <v>15</v>
      </c>
    </row>
    <row r="6" spans="1:21" ht="14.45" x14ac:dyDescent="0.3">
      <c r="A6">
        <v>3</v>
      </c>
      <c r="C6" s="45">
        <v>6</v>
      </c>
      <c r="D6" s="40">
        <v>4</v>
      </c>
      <c r="E6" s="41">
        <v>3</v>
      </c>
      <c r="F6" s="41">
        <v>3</v>
      </c>
      <c r="G6" s="40">
        <v>4</v>
      </c>
      <c r="H6" s="43">
        <v>5</v>
      </c>
      <c r="I6" s="40">
        <v>4</v>
      </c>
      <c r="J6" s="41">
        <v>3</v>
      </c>
      <c r="K6" s="39">
        <v>2</v>
      </c>
      <c r="L6" s="40">
        <v>4</v>
      </c>
      <c r="N6" s="8">
        <v>5</v>
      </c>
      <c r="O6">
        <v>9</v>
      </c>
    </row>
    <row r="7" spans="1:21" ht="14.45" x14ac:dyDescent="0.3">
      <c r="A7">
        <v>4</v>
      </c>
      <c r="C7" s="43">
        <v>5</v>
      </c>
      <c r="D7" s="39">
        <v>2</v>
      </c>
      <c r="E7" s="40">
        <v>4</v>
      </c>
      <c r="F7" s="44">
        <v>7</v>
      </c>
      <c r="G7" s="41">
        <v>3</v>
      </c>
      <c r="H7" s="45">
        <v>6</v>
      </c>
      <c r="I7" s="39">
        <v>2</v>
      </c>
      <c r="J7" s="39">
        <v>2</v>
      </c>
      <c r="K7" s="40">
        <v>4</v>
      </c>
      <c r="L7" s="38">
        <v>1</v>
      </c>
      <c r="N7" s="46">
        <v>6</v>
      </c>
      <c r="O7">
        <v>5</v>
      </c>
    </row>
    <row r="8" spans="1:21" ht="14.45" x14ac:dyDescent="0.3">
      <c r="A8">
        <v>5</v>
      </c>
      <c r="C8" s="39">
        <v>2</v>
      </c>
      <c r="D8" s="38">
        <v>1</v>
      </c>
      <c r="E8" s="41">
        <v>3</v>
      </c>
      <c r="F8" s="44">
        <v>7</v>
      </c>
      <c r="G8" s="41">
        <v>3</v>
      </c>
      <c r="H8" s="38">
        <v>1</v>
      </c>
      <c r="I8" s="38">
        <v>1</v>
      </c>
      <c r="J8" s="38">
        <v>1</v>
      </c>
      <c r="K8" s="44">
        <v>7</v>
      </c>
      <c r="L8" s="39">
        <v>2</v>
      </c>
      <c r="N8" s="47">
        <v>7</v>
      </c>
      <c r="O8">
        <v>4</v>
      </c>
    </row>
    <row r="9" spans="1:21" ht="14.45" x14ac:dyDescent="0.3">
      <c r="A9">
        <v>6</v>
      </c>
      <c r="C9" s="40">
        <v>4</v>
      </c>
      <c r="D9" s="40">
        <v>4</v>
      </c>
      <c r="E9" s="39">
        <v>2</v>
      </c>
      <c r="F9" s="40">
        <v>4</v>
      </c>
      <c r="G9" s="43">
        <v>5</v>
      </c>
      <c r="H9" s="41">
        <v>3</v>
      </c>
      <c r="I9" s="41">
        <v>3</v>
      </c>
      <c r="J9" s="41">
        <v>3</v>
      </c>
      <c r="K9" s="43">
        <v>5</v>
      </c>
      <c r="L9" s="41">
        <v>3</v>
      </c>
      <c r="O9">
        <f>SUM(O2:O8)</f>
        <v>60</v>
      </c>
    </row>
    <row r="12" spans="1:21" ht="14.45" x14ac:dyDescent="0.3">
      <c r="C12" t="s">
        <v>0</v>
      </c>
      <c r="D12" t="s">
        <v>1</v>
      </c>
      <c r="H12">
        <f>O9</f>
        <v>60</v>
      </c>
    </row>
    <row r="14" spans="1:21" ht="14.45" x14ac:dyDescent="0.3">
      <c r="B14" t="s">
        <v>3</v>
      </c>
      <c r="C14" t="s">
        <v>2</v>
      </c>
      <c r="F14">
        <f>N2</f>
        <v>1</v>
      </c>
      <c r="G14" t="s">
        <v>21</v>
      </c>
      <c r="H14">
        <f>N8</f>
        <v>7</v>
      </c>
      <c r="I14" t="s">
        <v>14</v>
      </c>
      <c r="J14">
        <f>H14-F14</f>
        <v>6</v>
      </c>
    </row>
    <row r="16" spans="1:21" x14ac:dyDescent="0.25">
      <c r="B16" t="s">
        <v>4</v>
      </c>
      <c r="C16" t="s">
        <v>5</v>
      </c>
      <c r="F16" s="12" t="s">
        <v>6</v>
      </c>
      <c r="G16" t="s">
        <v>9</v>
      </c>
      <c r="I16">
        <v>60</v>
      </c>
    </row>
    <row r="17" spans="2:24" ht="14.45" x14ac:dyDescent="0.3">
      <c r="I17">
        <f>SQRT(I16)</f>
        <v>7.745966692414834</v>
      </c>
      <c r="L17" s="11" t="s">
        <v>52</v>
      </c>
    </row>
    <row r="18" spans="2:24" ht="14.45" x14ac:dyDescent="0.3">
      <c r="B18" s="5" t="s">
        <v>7</v>
      </c>
      <c r="C18" s="1" t="s">
        <v>8</v>
      </c>
      <c r="D18">
        <f>N8-N2</f>
        <v>6</v>
      </c>
      <c r="E18" t="s">
        <v>14</v>
      </c>
      <c r="F18" s="14">
        <f>D18/D19</f>
        <v>0.75</v>
      </c>
      <c r="L18" t="s">
        <v>29</v>
      </c>
    </row>
    <row r="19" spans="2:24" x14ac:dyDescent="0.25">
      <c r="B19" s="5" t="s">
        <v>31</v>
      </c>
      <c r="C19" t="s">
        <v>10</v>
      </c>
      <c r="D19">
        <v>8</v>
      </c>
      <c r="L19" s="11" t="s">
        <v>30</v>
      </c>
    </row>
    <row r="21" spans="2:24" ht="14.45" x14ac:dyDescent="0.3">
      <c r="E21" t="s">
        <v>11</v>
      </c>
      <c r="F21" t="s">
        <v>12</v>
      </c>
      <c r="G21" t="s">
        <v>13</v>
      </c>
      <c r="H21" t="s">
        <v>15</v>
      </c>
      <c r="I21" t="s">
        <v>16</v>
      </c>
      <c r="J21" t="s">
        <v>17</v>
      </c>
      <c r="K21" t="s">
        <v>18</v>
      </c>
      <c r="L21" t="s">
        <v>19</v>
      </c>
      <c r="M21" t="s">
        <v>20</v>
      </c>
      <c r="O21" t="s">
        <v>32</v>
      </c>
      <c r="R21" t="s">
        <v>178</v>
      </c>
      <c r="S21" t="s">
        <v>179</v>
      </c>
      <c r="T21" t="s">
        <v>55</v>
      </c>
      <c r="V21" t="s">
        <v>180</v>
      </c>
      <c r="W21" t="s">
        <v>141</v>
      </c>
    </row>
    <row r="22" spans="2:24" ht="14.45" x14ac:dyDescent="0.3">
      <c r="B22" s="48"/>
      <c r="E22">
        <v>1</v>
      </c>
      <c r="F22">
        <f>N2</f>
        <v>1</v>
      </c>
      <c r="G22" s="14">
        <f>F22+$F$18</f>
        <v>1.75</v>
      </c>
      <c r="H22" s="50">
        <f>O2</f>
        <v>6</v>
      </c>
      <c r="I22" s="50">
        <f>H22/$H$30</f>
        <v>0.1</v>
      </c>
      <c r="J22" s="50">
        <f>H22</f>
        <v>6</v>
      </c>
      <c r="K22" s="50">
        <f>J22/$H$30</f>
        <v>0.1</v>
      </c>
      <c r="L22" s="50">
        <f>(F22+G22)/2</f>
        <v>1.375</v>
      </c>
      <c r="M22" s="51">
        <f>H22*L22</f>
        <v>8.25</v>
      </c>
      <c r="N22" s="50"/>
      <c r="O22" s="50"/>
      <c r="P22" s="50"/>
      <c r="R22">
        <v>1</v>
      </c>
      <c r="S22">
        <f t="shared" ref="S22:S29" si="0">R22+0.8</f>
        <v>1.8</v>
      </c>
      <c r="T22">
        <f>(R22+S22)/2</f>
        <v>1.4</v>
      </c>
      <c r="U22">
        <v>6</v>
      </c>
      <c r="V22">
        <f>U22*T22</f>
        <v>8.3999999999999986</v>
      </c>
      <c r="W22">
        <f>U22</f>
        <v>6</v>
      </c>
    </row>
    <row r="23" spans="2:24" ht="14.45" x14ac:dyDescent="0.3">
      <c r="B23" s="48"/>
      <c r="E23">
        <v>2</v>
      </c>
      <c r="F23">
        <f>G22</f>
        <v>1.75</v>
      </c>
      <c r="G23" s="14">
        <f>F23+$F$18</f>
        <v>2.5</v>
      </c>
      <c r="H23" s="50">
        <f>O3</f>
        <v>8</v>
      </c>
      <c r="I23" s="50">
        <f t="shared" ref="I23:I29" si="1">H23/$H$30</f>
        <v>0.13333333333333333</v>
      </c>
      <c r="J23" s="50">
        <f t="shared" ref="J23:J29" si="2">J22+H23</f>
        <v>14</v>
      </c>
      <c r="K23" s="50">
        <f t="shared" ref="K23:K29" si="3">J23/$H$30</f>
        <v>0.23333333333333334</v>
      </c>
      <c r="L23" s="50">
        <f t="shared" ref="L23:L29" si="4">(F23+G23)/2</f>
        <v>2.125</v>
      </c>
      <c r="M23" s="51">
        <f t="shared" ref="M23:M29" si="5">H23*L23</f>
        <v>17</v>
      </c>
      <c r="N23" s="50"/>
      <c r="O23" s="50"/>
      <c r="P23" s="50"/>
      <c r="R23">
        <v>1.8</v>
      </c>
      <c r="S23">
        <f t="shared" si="0"/>
        <v>2.6</v>
      </c>
      <c r="T23">
        <f t="shared" ref="T23:T29" si="6">(R23+S23)/2</f>
        <v>2.2000000000000002</v>
      </c>
      <c r="U23">
        <v>8</v>
      </c>
      <c r="V23">
        <f t="shared" ref="V23:V29" si="7">U23*T23</f>
        <v>17.600000000000001</v>
      </c>
      <c r="W23">
        <f>W22+U23</f>
        <v>14</v>
      </c>
    </row>
    <row r="24" spans="2:24" ht="14.45" x14ac:dyDescent="0.3">
      <c r="B24" s="48"/>
      <c r="C24" s="48"/>
      <c r="D24" s="48"/>
      <c r="E24" s="48">
        <v>3</v>
      </c>
      <c r="F24" s="48">
        <f t="shared" ref="F24:F28" si="8">G23</f>
        <v>2.5</v>
      </c>
      <c r="G24" s="30">
        <f t="shared" ref="G24:G29" si="9">F24+$F$18</f>
        <v>3.25</v>
      </c>
      <c r="H24" s="50">
        <f>O4</f>
        <v>13</v>
      </c>
      <c r="I24" s="50">
        <f t="shared" si="1"/>
        <v>0.21666666666666667</v>
      </c>
      <c r="J24" s="50">
        <f t="shared" si="2"/>
        <v>27</v>
      </c>
      <c r="K24" s="50">
        <f t="shared" si="3"/>
        <v>0.45</v>
      </c>
      <c r="L24" s="50">
        <f t="shared" si="4"/>
        <v>2.875</v>
      </c>
      <c r="M24" s="51">
        <f t="shared" si="5"/>
        <v>37.375</v>
      </c>
      <c r="N24" s="50"/>
      <c r="O24" s="50"/>
      <c r="P24" s="50"/>
      <c r="R24">
        <v>2.6</v>
      </c>
      <c r="S24">
        <f t="shared" si="0"/>
        <v>3.4000000000000004</v>
      </c>
      <c r="T24">
        <f t="shared" si="6"/>
        <v>3</v>
      </c>
      <c r="U24">
        <v>13</v>
      </c>
      <c r="V24">
        <f t="shared" si="7"/>
        <v>39</v>
      </c>
      <c r="W24">
        <f>W23+U24</f>
        <v>27</v>
      </c>
    </row>
    <row r="25" spans="2:24" ht="14.45" x14ac:dyDescent="0.3">
      <c r="B25" s="48"/>
      <c r="C25" s="69"/>
      <c r="D25" s="69"/>
      <c r="E25" s="69">
        <v>4</v>
      </c>
      <c r="F25" s="69">
        <f t="shared" si="8"/>
        <v>3.25</v>
      </c>
      <c r="G25" s="70">
        <f t="shared" si="9"/>
        <v>4</v>
      </c>
      <c r="H25" s="77">
        <f>O5</f>
        <v>15</v>
      </c>
      <c r="I25" s="71">
        <f t="shared" si="1"/>
        <v>0.25</v>
      </c>
      <c r="J25" s="71">
        <f t="shared" si="2"/>
        <v>42</v>
      </c>
      <c r="K25" s="71">
        <f t="shared" si="3"/>
        <v>0.7</v>
      </c>
      <c r="L25" s="71">
        <f t="shared" si="4"/>
        <v>3.625</v>
      </c>
      <c r="M25" s="72">
        <f t="shared" si="5"/>
        <v>54.375</v>
      </c>
      <c r="N25" s="71"/>
      <c r="O25" s="50"/>
      <c r="P25" s="50"/>
      <c r="R25" s="75">
        <v>3.4</v>
      </c>
      <c r="S25" s="75">
        <f t="shared" si="0"/>
        <v>4.2</v>
      </c>
      <c r="T25" s="75">
        <f t="shared" si="6"/>
        <v>3.8</v>
      </c>
      <c r="U25" s="75">
        <v>15</v>
      </c>
      <c r="V25" s="75">
        <f t="shared" si="7"/>
        <v>57</v>
      </c>
      <c r="W25" s="75">
        <f>W24+U25</f>
        <v>42</v>
      </c>
      <c r="X25" s="75"/>
    </row>
    <row r="26" spans="2:24" ht="14.45" x14ac:dyDescent="0.3">
      <c r="B26" s="48"/>
      <c r="E26">
        <v>5</v>
      </c>
      <c r="F26">
        <f t="shared" si="8"/>
        <v>4</v>
      </c>
      <c r="G26" s="14">
        <f t="shared" si="9"/>
        <v>4.75</v>
      </c>
      <c r="H26" s="50">
        <v>0</v>
      </c>
      <c r="I26" s="50">
        <f t="shared" si="1"/>
        <v>0</v>
      </c>
      <c r="J26" s="50">
        <f t="shared" si="2"/>
        <v>42</v>
      </c>
      <c r="K26" s="50">
        <f t="shared" si="3"/>
        <v>0.7</v>
      </c>
      <c r="L26" s="50">
        <f t="shared" si="4"/>
        <v>4.375</v>
      </c>
      <c r="M26" s="51">
        <f t="shared" si="5"/>
        <v>0</v>
      </c>
      <c r="N26" s="50"/>
      <c r="O26" s="50"/>
      <c r="P26" s="50"/>
      <c r="R26">
        <v>4.2</v>
      </c>
      <c r="S26">
        <f t="shared" si="0"/>
        <v>5</v>
      </c>
      <c r="T26">
        <f t="shared" si="6"/>
        <v>4.5999999999999996</v>
      </c>
      <c r="U26">
        <v>9</v>
      </c>
      <c r="V26">
        <f t="shared" si="7"/>
        <v>41.4</v>
      </c>
    </row>
    <row r="27" spans="2:24" ht="14.45" x14ac:dyDescent="0.3">
      <c r="B27" s="48"/>
      <c r="E27">
        <v>6</v>
      </c>
      <c r="F27">
        <f t="shared" si="8"/>
        <v>4.75</v>
      </c>
      <c r="G27" s="14">
        <f t="shared" si="9"/>
        <v>5.5</v>
      </c>
      <c r="H27" s="50">
        <f>O6</f>
        <v>9</v>
      </c>
      <c r="I27" s="50">
        <f t="shared" si="1"/>
        <v>0.15</v>
      </c>
      <c r="J27" s="50">
        <f t="shared" si="2"/>
        <v>51</v>
      </c>
      <c r="K27" s="50">
        <f t="shared" si="3"/>
        <v>0.85</v>
      </c>
      <c r="L27" s="50">
        <f t="shared" si="4"/>
        <v>5.125</v>
      </c>
      <c r="M27" s="51">
        <f t="shared" si="5"/>
        <v>46.125</v>
      </c>
      <c r="N27" s="50"/>
      <c r="O27" s="50"/>
      <c r="P27" s="50"/>
      <c r="R27">
        <v>5</v>
      </c>
      <c r="S27">
        <f t="shared" si="0"/>
        <v>5.8</v>
      </c>
      <c r="T27">
        <f t="shared" si="6"/>
        <v>5.4</v>
      </c>
      <c r="U27">
        <v>0</v>
      </c>
      <c r="V27">
        <f t="shared" si="7"/>
        <v>0</v>
      </c>
    </row>
    <row r="28" spans="2:24" ht="14.45" x14ac:dyDescent="0.3">
      <c r="B28" s="48"/>
      <c r="E28">
        <v>7</v>
      </c>
      <c r="F28">
        <f t="shared" si="8"/>
        <v>5.5</v>
      </c>
      <c r="G28" s="14">
        <f t="shared" si="9"/>
        <v>6.25</v>
      </c>
      <c r="H28" s="50">
        <f>O7</f>
        <v>5</v>
      </c>
      <c r="I28" s="50">
        <f t="shared" si="1"/>
        <v>8.3333333333333329E-2</v>
      </c>
      <c r="J28" s="50">
        <f t="shared" si="2"/>
        <v>56</v>
      </c>
      <c r="K28" s="50">
        <f t="shared" si="3"/>
        <v>0.93333333333333335</v>
      </c>
      <c r="L28" s="50">
        <f t="shared" si="4"/>
        <v>5.875</v>
      </c>
      <c r="M28" s="51">
        <f t="shared" si="5"/>
        <v>29.375</v>
      </c>
      <c r="N28" s="50"/>
      <c r="O28" s="50"/>
      <c r="P28" s="50"/>
      <c r="R28">
        <v>5.8</v>
      </c>
      <c r="S28">
        <f t="shared" si="0"/>
        <v>6.6</v>
      </c>
      <c r="T28">
        <f t="shared" si="6"/>
        <v>6.1999999999999993</v>
      </c>
      <c r="U28">
        <v>5</v>
      </c>
      <c r="V28">
        <f t="shared" si="7"/>
        <v>30.999999999999996</v>
      </c>
    </row>
    <row r="29" spans="2:24" ht="14.45" x14ac:dyDescent="0.3">
      <c r="B29" s="48"/>
      <c r="E29">
        <v>8</v>
      </c>
      <c r="F29" s="14">
        <f>G28</f>
        <v>6.25</v>
      </c>
      <c r="G29" s="14">
        <f t="shared" si="9"/>
        <v>7</v>
      </c>
      <c r="H29" s="49">
        <f>O8</f>
        <v>4</v>
      </c>
      <c r="I29" s="49">
        <f t="shared" si="1"/>
        <v>6.6666666666666666E-2</v>
      </c>
      <c r="J29" s="50">
        <f t="shared" si="2"/>
        <v>60</v>
      </c>
      <c r="K29" s="50">
        <f t="shared" si="3"/>
        <v>1</v>
      </c>
      <c r="L29" s="50">
        <f t="shared" si="4"/>
        <v>6.625</v>
      </c>
      <c r="M29" s="68">
        <f t="shared" si="5"/>
        <v>26.5</v>
      </c>
      <c r="N29" s="50"/>
      <c r="O29" s="50"/>
      <c r="P29" s="50"/>
      <c r="R29">
        <v>6.6</v>
      </c>
      <c r="S29">
        <f t="shared" si="0"/>
        <v>7.3999999999999995</v>
      </c>
      <c r="T29">
        <f t="shared" si="6"/>
        <v>7</v>
      </c>
      <c r="U29">
        <v>4</v>
      </c>
      <c r="V29" s="1">
        <f t="shared" si="7"/>
        <v>28</v>
      </c>
    </row>
    <row r="30" spans="2:24" ht="14.45" x14ac:dyDescent="0.3">
      <c r="B30" s="48"/>
      <c r="H30">
        <f>SUM(H22:H29)</f>
        <v>60</v>
      </c>
      <c r="I30" s="50">
        <f>SUM(I22:I29)</f>
        <v>1</v>
      </c>
      <c r="M30" s="14">
        <f>SUM(M22:M29)</f>
        <v>219</v>
      </c>
      <c r="V30">
        <f>SUM(V22:V29)</f>
        <v>222.4</v>
      </c>
    </row>
    <row r="31" spans="2:24" ht="14.45" x14ac:dyDescent="0.3">
      <c r="B31" s="48"/>
    </row>
    <row r="32" spans="2:24" ht="14.45" x14ac:dyDescent="0.3">
      <c r="B32" s="48"/>
      <c r="F32" t="s">
        <v>21</v>
      </c>
      <c r="S32" t="s">
        <v>150</v>
      </c>
      <c r="T32" s="1">
        <f>V30</f>
        <v>222.4</v>
      </c>
      <c r="U32" s="75">
        <f>T32/T33</f>
        <v>3.7066666666666666</v>
      </c>
    </row>
    <row r="33" spans="2:26" ht="14.45" x14ac:dyDescent="0.3">
      <c r="B33" s="48"/>
      <c r="F33" t="s">
        <v>22</v>
      </c>
      <c r="G33" t="s">
        <v>14</v>
      </c>
      <c r="H33" s="1" t="s">
        <v>23</v>
      </c>
      <c r="I33" s="15">
        <f>M30</f>
        <v>219</v>
      </c>
      <c r="J33" s="75">
        <f>I33/I34</f>
        <v>3.65</v>
      </c>
      <c r="T33">
        <f>O9</f>
        <v>60</v>
      </c>
    </row>
    <row r="34" spans="2:26" ht="14.45" x14ac:dyDescent="0.3">
      <c r="B34" s="48"/>
      <c r="H34" t="s">
        <v>0</v>
      </c>
      <c r="I34">
        <f>H30</f>
        <v>60</v>
      </c>
    </row>
    <row r="35" spans="2:26" ht="14.45" x14ac:dyDescent="0.3">
      <c r="B35" s="48"/>
      <c r="F35" t="s">
        <v>24</v>
      </c>
      <c r="R35" t="s">
        <v>181</v>
      </c>
      <c r="S35" t="s">
        <v>104</v>
      </c>
      <c r="T35">
        <f>T33/S36</f>
        <v>30</v>
      </c>
    </row>
    <row r="36" spans="2:26" x14ac:dyDescent="0.25">
      <c r="B36" s="48"/>
      <c r="F36" s="11" t="s">
        <v>25</v>
      </c>
      <c r="S36">
        <v>2</v>
      </c>
    </row>
    <row r="37" spans="2:26" ht="14.45" x14ac:dyDescent="0.3">
      <c r="B37" s="48"/>
      <c r="F37" s="11"/>
      <c r="K37">
        <f>E24*F24</f>
        <v>7.5</v>
      </c>
    </row>
    <row r="38" spans="2:26" ht="14.45" x14ac:dyDescent="0.3">
      <c r="B38" s="48"/>
      <c r="F38" s="11"/>
      <c r="H38" s="1">
        <v>1</v>
      </c>
      <c r="I38">
        <f>H38/H39</f>
        <v>0.02</v>
      </c>
      <c r="J38">
        <f>L43</f>
        <v>178.5</v>
      </c>
      <c r="K38">
        <f>E22*H22</f>
        <v>6</v>
      </c>
      <c r="S38" t="s">
        <v>26</v>
      </c>
    </row>
    <row r="39" spans="2:26" ht="14.45" x14ac:dyDescent="0.3">
      <c r="B39" s="48"/>
      <c r="C39" s="48"/>
      <c r="H39">
        <v>50</v>
      </c>
      <c r="K39">
        <f>E23*H23</f>
        <v>16</v>
      </c>
      <c r="S39" s="11" t="s">
        <v>155</v>
      </c>
    </row>
    <row r="40" spans="2:26" ht="14.45" x14ac:dyDescent="0.3">
      <c r="B40" s="48"/>
      <c r="C40" s="48"/>
      <c r="I40">
        <f>I38*J38</f>
        <v>3.5700000000000003</v>
      </c>
      <c r="K40">
        <f>E25*H25</f>
        <v>60</v>
      </c>
    </row>
    <row r="41" spans="2:26" ht="14.45" x14ac:dyDescent="0.3">
      <c r="B41" s="48"/>
      <c r="C41" s="48"/>
      <c r="F41" t="s">
        <v>21</v>
      </c>
      <c r="K41">
        <f>E26*H26</f>
        <v>0</v>
      </c>
      <c r="R41" t="s">
        <v>156</v>
      </c>
      <c r="T41" t="s">
        <v>63</v>
      </c>
      <c r="U41" t="s">
        <v>157</v>
      </c>
      <c r="V41" t="s">
        <v>21</v>
      </c>
      <c r="W41" t="s">
        <v>158</v>
      </c>
    </row>
    <row r="42" spans="2:26" ht="14.45" x14ac:dyDescent="0.3">
      <c r="B42" s="48"/>
      <c r="C42" s="48"/>
      <c r="F42" t="s">
        <v>21</v>
      </c>
      <c r="K42">
        <f>E27*H27</f>
        <v>54</v>
      </c>
      <c r="S42">
        <v>1</v>
      </c>
      <c r="U42" s="1"/>
      <c r="V42" s="1"/>
      <c r="W42" s="1"/>
      <c r="X42" s="1"/>
      <c r="Y42" s="1">
        <v>1</v>
      </c>
      <c r="Z42" t="s">
        <v>160</v>
      </c>
    </row>
    <row r="43" spans="2:26" ht="14.45" x14ac:dyDescent="0.3">
      <c r="B43" s="48"/>
      <c r="C43" s="48"/>
      <c r="F43" t="s">
        <v>22</v>
      </c>
      <c r="G43" t="s">
        <v>14</v>
      </c>
      <c r="H43" t="s">
        <v>4</v>
      </c>
      <c r="I43" s="1" t="s">
        <v>28</v>
      </c>
      <c r="K43" s="1">
        <f>E28*H28</f>
        <v>35</v>
      </c>
      <c r="L43">
        <f>SUM(K37:K43)</f>
        <v>178.5</v>
      </c>
      <c r="W43" t="s">
        <v>159</v>
      </c>
    </row>
    <row r="44" spans="2:26" ht="14.45" x14ac:dyDescent="0.3">
      <c r="B44" s="48"/>
      <c r="C44" s="48"/>
      <c r="I44">
        <v>2</v>
      </c>
    </row>
    <row r="45" spans="2:26" ht="14.45" x14ac:dyDescent="0.3">
      <c r="B45" s="48"/>
      <c r="C45" s="48"/>
      <c r="F45" t="s">
        <v>26</v>
      </c>
    </row>
    <row r="46" spans="2:26" ht="14.45" x14ac:dyDescent="0.3">
      <c r="B46" s="48"/>
      <c r="C46" s="48"/>
      <c r="F46" s="11" t="s">
        <v>155</v>
      </c>
    </row>
    <row r="47" spans="2:26" ht="14.45" x14ac:dyDescent="0.3">
      <c r="B47" s="48"/>
      <c r="C47" s="48"/>
    </row>
    <row r="48" spans="2:26" ht="14.45" x14ac:dyDescent="0.3">
      <c r="B48" s="48"/>
      <c r="C48" s="48"/>
      <c r="E48" t="s">
        <v>156</v>
      </c>
      <c r="G48" t="s">
        <v>63</v>
      </c>
      <c r="H48" t="s">
        <v>157</v>
      </c>
      <c r="I48" t="s">
        <v>21</v>
      </c>
      <c r="J48" t="s">
        <v>158</v>
      </c>
      <c r="R48">
        <f>R25-0.5</f>
        <v>2.9</v>
      </c>
      <c r="S48" t="s">
        <v>63</v>
      </c>
      <c r="T48" s="1">
        <f>T35</f>
        <v>30</v>
      </c>
      <c r="U48" s="1" t="s">
        <v>21</v>
      </c>
      <c r="V48" s="1">
        <f>SUM(U22:U24)</f>
        <v>27</v>
      </c>
      <c r="W48">
        <f>(S25+0.5)-(R24-0.5)</f>
        <v>2.6</v>
      </c>
    </row>
    <row r="49" spans="2:25" ht="14.45" x14ac:dyDescent="0.3">
      <c r="B49" s="48"/>
      <c r="C49" s="48"/>
      <c r="F49">
        <v>1</v>
      </c>
      <c r="H49" s="1"/>
      <c r="I49" s="1"/>
      <c r="J49" s="1"/>
      <c r="K49" s="1"/>
      <c r="L49" s="1">
        <v>1</v>
      </c>
      <c r="M49" t="s">
        <v>160</v>
      </c>
      <c r="U49">
        <f>U25</f>
        <v>15</v>
      </c>
    </row>
    <row r="50" spans="2:25" ht="14.45" x14ac:dyDescent="0.3">
      <c r="B50" s="48"/>
      <c r="C50" s="48"/>
      <c r="J50" t="s">
        <v>159</v>
      </c>
    </row>
    <row r="51" spans="2:25" ht="14.45" x14ac:dyDescent="0.3">
      <c r="B51" s="48"/>
      <c r="T51">
        <f>(T48-V48)/U49</f>
        <v>0.2</v>
      </c>
      <c r="U51">
        <f>W48</f>
        <v>2.6</v>
      </c>
    </row>
    <row r="52" spans="2:25" ht="14.45" x14ac:dyDescent="0.3">
      <c r="B52" s="48" t="s">
        <v>103</v>
      </c>
      <c r="C52" t="s">
        <v>161</v>
      </c>
      <c r="R52">
        <f>R48</f>
        <v>2.9</v>
      </c>
      <c r="S52" t="s">
        <v>63</v>
      </c>
      <c r="T52">
        <f>T51*U51</f>
        <v>0.52</v>
      </c>
      <c r="U52" t="s">
        <v>14</v>
      </c>
      <c r="V52" s="75">
        <f>T52+R52</f>
        <v>3.42</v>
      </c>
    </row>
    <row r="53" spans="2:25" ht="14.45" x14ac:dyDescent="0.3">
      <c r="B53" s="48" t="s">
        <v>104</v>
      </c>
      <c r="C53" t="s">
        <v>162</v>
      </c>
    </row>
    <row r="54" spans="2:25" ht="14.45" x14ac:dyDescent="0.3">
      <c r="B54" t="s">
        <v>163</v>
      </c>
      <c r="C54" t="s">
        <v>164</v>
      </c>
    </row>
    <row r="55" spans="2:25" ht="14.45" x14ac:dyDescent="0.3">
      <c r="B55" t="s">
        <v>159</v>
      </c>
      <c r="C55" t="s">
        <v>165</v>
      </c>
      <c r="S55" s="75" t="s">
        <v>43</v>
      </c>
    </row>
    <row r="56" spans="2:25" ht="14.45" x14ac:dyDescent="0.3">
      <c r="B56" t="s">
        <v>107</v>
      </c>
      <c r="C56" t="s">
        <v>166</v>
      </c>
    </row>
    <row r="57" spans="2:25" ht="14.45" x14ac:dyDescent="0.3">
      <c r="R57" t="s">
        <v>167</v>
      </c>
      <c r="S57" s="1" t="s">
        <v>168</v>
      </c>
      <c r="T57" s="1"/>
      <c r="U57" s="1"/>
      <c r="V57" s="1"/>
      <c r="X57" t="s">
        <v>170</v>
      </c>
    </row>
    <row r="58" spans="2:25" ht="14.45" x14ac:dyDescent="0.3">
      <c r="C58" t="s">
        <v>104</v>
      </c>
      <c r="D58" s="1">
        <f>H30</f>
        <v>60</v>
      </c>
      <c r="E58">
        <f>D58/D59</f>
        <v>30</v>
      </c>
      <c r="S58" t="s">
        <v>169</v>
      </c>
    </row>
    <row r="59" spans="2:25" ht="14.45" x14ac:dyDescent="0.3">
      <c r="C59">
        <v>2</v>
      </c>
      <c r="D59">
        <v>2</v>
      </c>
    </row>
    <row r="60" spans="2:25" ht="14.45" x14ac:dyDescent="0.3">
      <c r="L60" s="14">
        <f>(2.5-0.5)-(3.25+0.5)</f>
        <v>-1.75</v>
      </c>
      <c r="R60">
        <f>R25</f>
        <v>3.4</v>
      </c>
      <c r="S60" t="s">
        <v>63</v>
      </c>
      <c r="T60" s="1">
        <f>U25</f>
        <v>15</v>
      </c>
      <c r="U60" s="1" t="s">
        <v>21</v>
      </c>
      <c r="V60" s="1">
        <f>U24</f>
        <v>13</v>
      </c>
      <c r="W60" s="1"/>
      <c r="X60" s="1"/>
      <c r="Y60">
        <f>(S25-R25)</f>
        <v>0.80000000000000027</v>
      </c>
    </row>
    <row r="61" spans="2:25" ht="14.45" x14ac:dyDescent="0.3">
      <c r="B61">
        <f>F25-0.5</f>
        <v>2.75</v>
      </c>
      <c r="C61" t="s">
        <v>63</v>
      </c>
      <c r="D61" s="1">
        <f>E58</f>
        <v>30</v>
      </c>
      <c r="E61" s="1" t="s">
        <v>21</v>
      </c>
      <c r="F61" s="1">
        <f>SUM(H22:H24)</f>
        <v>27</v>
      </c>
      <c r="G61">
        <f>(4+0.5)-(3.25-0.5)</f>
        <v>1.75</v>
      </c>
      <c r="T61">
        <f>2*T60</f>
        <v>30</v>
      </c>
      <c r="U61" t="s">
        <v>21</v>
      </c>
      <c r="V61">
        <f>U24</f>
        <v>13</v>
      </c>
      <c r="W61" t="s">
        <v>21</v>
      </c>
      <c r="X61">
        <f>U26</f>
        <v>9</v>
      </c>
    </row>
    <row r="62" spans="2:25" ht="14.45" x14ac:dyDescent="0.3">
      <c r="E62">
        <f>H25</f>
        <v>15</v>
      </c>
    </row>
    <row r="63" spans="2:25" ht="14.45" x14ac:dyDescent="0.3">
      <c r="T63">
        <f>(T60-V60)/(T61-V61-X61)</f>
        <v>0.25</v>
      </c>
      <c r="U63">
        <f>Y60</f>
        <v>0.80000000000000027</v>
      </c>
    </row>
    <row r="64" spans="2:25" ht="14.45" x14ac:dyDescent="0.3">
      <c r="D64">
        <f>(D61-F61)/E62</f>
        <v>0.2</v>
      </c>
      <c r="E64">
        <f>G61</f>
        <v>1.75</v>
      </c>
      <c r="R64">
        <f>R60</f>
        <v>3.4</v>
      </c>
      <c r="S64" t="s">
        <v>63</v>
      </c>
      <c r="T64">
        <f>T63*U63</f>
        <v>0.20000000000000007</v>
      </c>
      <c r="U64" t="s">
        <v>14</v>
      </c>
      <c r="V64" s="75">
        <f>T64+R64</f>
        <v>3.6</v>
      </c>
    </row>
    <row r="65" spans="2:28" ht="14.45" x14ac:dyDescent="0.3">
      <c r="B65">
        <f>B61</f>
        <v>2.75</v>
      </c>
      <c r="C65" t="s">
        <v>63</v>
      </c>
      <c r="D65">
        <f>D64*E64</f>
        <v>0.35000000000000003</v>
      </c>
      <c r="E65" t="s">
        <v>14</v>
      </c>
      <c r="F65" s="69">
        <f>B65+D65</f>
        <v>3.1</v>
      </c>
    </row>
    <row r="67" spans="2:28" ht="14.45" x14ac:dyDescent="0.3">
      <c r="B67" s="73" t="s">
        <v>128</v>
      </c>
      <c r="C67" s="73"/>
      <c r="D67" s="73"/>
      <c r="E67" s="73"/>
      <c r="F67" s="73"/>
      <c r="G67" s="73"/>
      <c r="H67" s="73"/>
    </row>
    <row r="69" spans="2:28" ht="14.45" x14ac:dyDescent="0.3">
      <c r="B69" t="s">
        <v>15</v>
      </c>
    </row>
    <row r="70" spans="2:28" ht="14.45" x14ac:dyDescent="0.3">
      <c r="B70" s="50">
        <f>H22</f>
        <v>6</v>
      </c>
    </row>
    <row r="71" spans="2:28" ht="14.45" x14ac:dyDescent="0.3">
      <c r="B71" s="50">
        <f>H23</f>
        <v>8</v>
      </c>
    </row>
    <row r="72" spans="2:28" ht="14.45" x14ac:dyDescent="0.3">
      <c r="B72" s="50">
        <f>H24</f>
        <v>13</v>
      </c>
      <c r="C72">
        <f>SUM(B70:B72)</f>
        <v>27</v>
      </c>
    </row>
    <row r="73" spans="2:28" ht="14.45" x14ac:dyDescent="0.3">
      <c r="B73" s="49">
        <f>H25</f>
        <v>15</v>
      </c>
      <c r="D73">
        <v>3</v>
      </c>
    </row>
    <row r="75" spans="2:28" ht="14.45" x14ac:dyDescent="0.3">
      <c r="B75">
        <f>B61</f>
        <v>2.75</v>
      </c>
      <c r="C75" t="s">
        <v>63</v>
      </c>
      <c r="D75" s="1">
        <f>D73</f>
        <v>3</v>
      </c>
      <c r="F75">
        <f>G61</f>
        <v>1.75</v>
      </c>
    </row>
    <row r="76" spans="2:28" ht="14.45" x14ac:dyDescent="0.3">
      <c r="D76">
        <f>B73</f>
        <v>15</v>
      </c>
    </row>
    <row r="77" spans="2:28" ht="14.45" x14ac:dyDescent="0.3">
      <c r="Q77" s="58"/>
      <c r="R77" s="58" t="s">
        <v>178</v>
      </c>
      <c r="S77" s="58" t="s">
        <v>179</v>
      </c>
      <c r="T77" s="58" t="s">
        <v>55</v>
      </c>
      <c r="U77" s="58"/>
      <c r="V77" s="58" t="s">
        <v>180</v>
      </c>
      <c r="W77" s="58" t="s">
        <v>141</v>
      </c>
      <c r="X77" s="58"/>
      <c r="Y77" s="58"/>
      <c r="Z77" s="58"/>
      <c r="AA77" s="58"/>
      <c r="AB77" s="58"/>
    </row>
    <row r="78" spans="2:28" ht="14.45" x14ac:dyDescent="0.3">
      <c r="B78">
        <f>B75</f>
        <v>2.75</v>
      </c>
      <c r="C78" t="s">
        <v>63</v>
      </c>
      <c r="D78">
        <f>(D75/D76)*F75</f>
        <v>0.35000000000000003</v>
      </c>
      <c r="E78" t="s">
        <v>14</v>
      </c>
      <c r="F78" s="74">
        <f>D78+B78</f>
        <v>3.1</v>
      </c>
      <c r="Q78" s="58">
        <v>1</v>
      </c>
      <c r="R78" s="58">
        <v>1</v>
      </c>
      <c r="S78" s="58">
        <f>R78+1</f>
        <v>2</v>
      </c>
      <c r="T78" s="58">
        <f>(R78+S78)/2</f>
        <v>1.5</v>
      </c>
      <c r="U78" s="58">
        <f>O2+O3</f>
        <v>14</v>
      </c>
      <c r="V78" s="58">
        <f>U78*T78</f>
        <v>21</v>
      </c>
      <c r="W78" s="58">
        <f>U78</f>
        <v>14</v>
      </c>
      <c r="X78" s="58"/>
      <c r="Y78" s="58"/>
      <c r="Z78" s="58"/>
      <c r="AA78" s="58"/>
      <c r="AB78" s="58"/>
    </row>
    <row r="79" spans="2:28" ht="14.45" x14ac:dyDescent="0.3">
      <c r="Q79" s="58">
        <v>2</v>
      </c>
      <c r="R79" s="58">
        <f>S78</f>
        <v>2</v>
      </c>
      <c r="S79" s="58">
        <f>R79+1</f>
        <v>3</v>
      </c>
      <c r="T79" s="58">
        <f t="shared" ref="T79:T84" si="10">(R79+S79)/2</f>
        <v>2.5</v>
      </c>
      <c r="U79" s="58">
        <f>O4</f>
        <v>13</v>
      </c>
      <c r="V79" s="58">
        <f t="shared" ref="V79:V84" si="11">U79*T79</f>
        <v>32.5</v>
      </c>
      <c r="W79" s="58">
        <f>W78+U79</f>
        <v>27</v>
      </c>
      <c r="X79" s="58"/>
      <c r="Y79" s="58"/>
      <c r="Z79" s="58"/>
      <c r="AA79" s="58"/>
      <c r="AB79" s="58"/>
    </row>
    <row r="80" spans="2:28" ht="14.45" x14ac:dyDescent="0.3">
      <c r="Q80" s="75">
        <v>3</v>
      </c>
      <c r="R80" s="75">
        <v>3</v>
      </c>
      <c r="S80" s="75">
        <f t="shared" ref="S80:S84" si="12">R80+1</f>
        <v>4</v>
      </c>
      <c r="T80" s="75">
        <f t="shared" si="10"/>
        <v>3.5</v>
      </c>
      <c r="U80" s="75">
        <f>O5</f>
        <v>15</v>
      </c>
      <c r="V80" s="75">
        <f t="shared" si="11"/>
        <v>52.5</v>
      </c>
      <c r="W80" s="75">
        <f>W79+U80</f>
        <v>42</v>
      </c>
      <c r="X80" s="75"/>
      <c r="Y80" s="58"/>
      <c r="Z80" s="58"/>
      <c r="AA80" s="58"/>
      <c r="AB80" s="58"/>
    </row>
    <row r="81" spans="2:28" ht="14.45" x14ac:dyDescent="0.3">
      <c r="B81" s="76" t="s">
        <v>43</v>
      </c>
      <c r="D81" t="s">
        <v>50</v>
      </c>
      <c r="Q81" s="58">
        <v>4</v>
      </c>
      <c r="R81" s="58">
        <f>S80</f>
        <v>4</v>
      </c>
      <c r="S81" s="58">
        <f t="shared" si="12"/>
        <v>5</v>
      </c>
      <c r="T81" s="58">
        <f t="shared" si="10"/>
        <v>4.5</v>
      </c>
      <c r="U81" s="58">
        <f>O6</f>
        <v>9</v>
      </c>
      <c r="V81" s="58">
        <f t="shared" si="11"/>
        <v>40.5</v>
      </c>
      <c r="W81" s="58">
        <f>W80+U81</f>
        <v>51</v>
      </c>
      <c r="X81" s="58"/>
      <c r="Y81" s="58"/>
      <c r="Z81" s="58"/>
      <c r="AA81" s="58"/>
      <c r="AB81" s="58"/>
    </row>
    <row r="82" spans="2:28" ht="14.45" x14ac:dyDescent="0.3">
      <c r="Q82" s="58">
        <v>5</v>
      </c>
      <c r="R82" s="58">
        <f>S81</f>
        <v>5</v>
      </c>
      <c r="S82" s="58">
        <f t="shared" si="12"/>
        <v>6</v>
      </c>
      <c r="T82" s="58">
        <f t="shared" si="10"/>
        <v>5.5</v>
      </c>
      <c r="U82" s="58">
        <f>O7</f>
        <v>5</v>
      </c>
      <c r="V82" s="58">
        <f t="shared" si="11"/>
        <v>27.5</v>
      </c>
      <c r="W82" s="58"/>
      <c r="X82" s="58"/>
      <c r="Y82" s="58"/>
      <c r="Z82" s="58"/>
      <c r="AA82" s="58"/>
      <c r="AB82" s="58"/>
    </row>
    <row r="83" spans="2:28" ht="14.45" x14ac:dyDescent="0.3">
      <c r="B83" t="s">
        <v>167</v>
      </c>
      <c r="C83" s="1" t="s">
        <v>168</v>
      </c>
      <c r="D83" s="1"/>
      <c r="E83" s="1"/>
      <c r="F83" s="1"/>
      <c r="H83" t="s">
        <v>170</v>
      </c>
      <c r="Q83" s="58">
        <v>6</v>
      </c>
      <c r="R83" s="58">
        <f>S82</f>
        <v>6</v>
      </c>
      <c r="S83" s="58">
        <f t="shared" si="12"/>
        <v>7</v>
      </c>
      <c r="T83" s="58">
        <f t="shared" si="10"/>
        <v>6.5</v>
      </c>
      <c r="U83" s="58">
        <f>O8</f>
        <v>4</v>
      </c>
      <c r="V83" s="58">
        <f t="shared" si="11"/>
        <v>26</v>
      </c>
      <c r="W83" s="58"/>
      <c r="X83" s="58"/>
      <c r="Y83" s="58"/>
      <c r="Z83" s="58"/>
      <c r="AA83" s="58"/>
      <c r="AB83" s="58"/>
    </row>
    <row r="84" spans="2:28" ht="14.45" x14ac:dyDescent="0.3">
      <c r="C84" t="s">
        <v>169</v>
      </c>
      <c r="Q84" s="58">
        <v>7</v>
      </c>
      <c r="R84" s="58">
        <f>S83</f>
        <v>7</v>
      </c>
      <c r="S84" s="58">
        <f t="shared" si="12"/>
        <v>8</v>
      </c>
      <c r="T84" s="58">
        <f t="shared" si="10"/>
        <v>7.5</v>
      </c>
      <c r="U84" s="58">
        <v>0</v>
      </c>
      <c r="V84" s="58">
        <f t="shared" si="11"/>
        <v>0</v>
      </c>
      <c r="W84" s="58"/>
      <c r="X84" s="58"/>
      <c r="Y84" s="58"/>
      <c r="Z84" s="58"/>
      <c r="AA84" s="58"/>
      <c r="AB84" s="58"/>
    </row>
    <row r="85" spans="2:28" ht="14.45" x14ac:dyDescent="0.3">
      <c r="Q85" s="58"/>
      <c r="R85" s="58"/>
      <c r="S85" s="58"/>
      <c r="T85" s="58"/>
      <c r="U85" s="58"/>
      <c r="V85" s="78"/>
      <c r="W85" s="58"/>
      <c r="X85" s="58"/>
      <c r="Y85" s="58"/>
      <c r="Z85" s="58"/>
      <c r="AA85" s="58"/>
      <c r="AB85" s="58"/>
    </row>
    <row r="86" spans="2:28" x14ac:dyDescent="0.25">
      <c r="B86" t="s">
        <v>171</v>
      </c>
      <c r="C86" t="s">
        <v>172</v>
      </c>
      <c r="Q86" s="58"/>
      <c r="R86" s="58"/>
      <c r="S86" s="58"/>
      <c r="T86" s="58"/>
      <c r="U86" s="58"/>
      <c r="V86" s="58">
        <f>SUM(V78:V85)</f>
        <v>200</v>
      </c>
      <c r="W86" s="58"/>
      <c r="X86" s="58"/>
      <c r="Y86" s="58"/>
      <c r="Z86" s="58"/>
      <c r="AA86" s="58"/>
      <c r="AB86" s="58"/>
    </row>
    <row r="87" spans="2:28" ht="14.45" x14ac:dyDescent="0.3">
      <c r="B87" t="s">
        <v>173</v>
      </c>
      <c r="C87" t="s">
        <v>174</v>
      </c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</row>
    <row r="88" spans="2:28" ht="14.45" x14ac:dyDescent="0.3">
      <c r="B88" t="s">
        <v>175</v>
      </c>
      <c r="C88" t="s">
        <v>176</v>
      </c>
      <c r="Q88" s="58"/>
      <c r="R88" s="58"/>
      <c r="S88" s="58" t="s">
        <v>150</v>
      </c>
      <c r="T88" s="78">
        <f>V86</f>
        <v>200</v>
      </c>
      <c r="U88" s="75">
        <f>T88/T89</f>
        <v>3.3333333333333335</v>
      </c>
      <c r="V88" s="58"/>
      <c r="W88" s="58"/>
      <c r="X88" s="58"/>
      <c r="Y88" s="58"/>
      <c r="Z88" s="58"/>
      <c r="AA88" s="58"/>
      <c r="AB88" s="58"/>
    </row>
    <row r="89" spans="2:28" ht="14.45" x14ac:dyDescent="0.3">
      <c r="B89" t="s">
        <v>170</v>
      </c>
      <c r="C89" t="s">
        <v>177</v>
      </c>
      <c r="Q89" s="58"/>
      <c r="R89" s="58"/>
      <c r="S89" s="58"/>
      <c r="T89" s="58">
        <f>D58</f>
        <v>60</v>
      </c>
      <c r="U89" s="58"/>
      <c r="V89" s="58"/>
      <c r="W89" s="58"/>
      <c r="X89" s="58"/>
      <c r="Y89" s="58"/>
      <c r="Z89" s="58"/>
      <c r="AA89" s="58"/>
      <c r="AB89" s="58"/>
    </row>
    <row r="90" spans="2:28" ht="14.45" x14ac:dyDescent="0.3"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</row>
    <row r="91" spans="2:28" ht="14.45" x14ac:dyDescent="0.3">
      <c r="B91" s="69">
        <v>4</v>
      </c>
      <c r="C91" s="69">
        <f>F25</f>
        <v>3.25</v>
      </c>
      <c r="D91" s="70">
        <f t="shared" ref="D91" si="13">C91+$F$18</f>
        <v>4</v>
      </c>
      <c r="E91" s="77">
        <f>H25</f>
        <v>15</v>
      </c>
      <c r="F91" s="71">
        <f t="shared" ref="F91" si="14">E91/$H$30</f>
        <v>0.25</v>
      </c>
      <c r="G91" s="71">
        <f t="shared" ref="G91" si="15">G90+E91</f>
        <v>15</v>
      </c>
      <c r="H91" s="71">
        <f t="shared" ref="H91" si="16">G91/$H$30</f>
        <v>0.25</v>
      </c>
      <c r="I91" s="71">
        <f t="shared" ref="I91" si="17">(C91+D91)/2</f>
        <v>3.625</v>
      </c>
      <c r="J91" s="72">
        <f t="shared" ref="J91" si="18">E91*I91</f>
        <v>54.375</v>
      </c>
      <c r="Q91" s="58"/>
      <c r="R91" s="58" t="s">
        <v>181</v>
      </c>
      <c r="S91" s="58" t="s">
        <v>104</v>
      </c>
      <c r="T91" s="58">
        <f>T89/S92</f>
        <v>30</v>
      </c>
      <c r="U91" s="58"/>
      <c r="V91" s="58"/>
      <c r="W91" s="58"/>
      <c r="X91" s="58"/>
      <c r="Y91" s="58"/>
      <c r="Z91" s="58"/>
      <c r="AA91" s="58"/>
      <c r="AB91" s="58"/>
    </row>
    <row r="92" spans="2:28" ht="14.45" x14ac:dyDescent="0.3">
      <c r="Q92" s="58"/>
      <c r="R92" s="58"/>
      <c r="S92" s="58">
        <v>2</v>
      </c>
      <c r="T92" s="58"/>
      <c r="U92" s="58"/>
      <c r="V92" s="58"/>
      <c r="W92" s="58"/>
      <c r="X92" s="58"/>
      <c r="Y92" s="58"/>
      <c r="Z92" s="58"/>
      <c r="AA92" s="58"/>
      <c r="AB92" s="58"/>
    </row>
    <row r="93" spans="2:28" ht="14.45" x14ac:dyDescent="0.3"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</row>
    <row r="94" spans="2:28" ht="14.45" x14ac:dyDescent="0.3">
      <c r="B94">
        <f>C91</f>
        <v>3.25</v>
      </c>
      <c r="C94" t="s">
        <v>63</v>
      </c>
      <c r="D94" s="1">
        <f>E91</f>
        <v>15</v>
      </c>
      <c r="E94" s="1" t="s">
        <v>21</v>
      </c>
      <c r="F94" s="1">
        <f>H24</f>
        <v>13</v>
      </c>
      <c r="G94" s="1"/>
      <c r="H94" s="14">
        <f>D91-C91</f>
        <v>0.75</v>
      </c>
      <c r="Q94" s="58"/>
      <c r="R94" s="58"/>
      <c r="S94" s="58" t="s">
        <v>26</v>
      </c>
      <c r="T94" s="58"/>
      <c r="U94" s="58"/>
      <c r="V94" s="58"/>
      <c r="W94" s="58"/>
      <c r="X94" s="58"/>
      <c r="Y94" s="58"/>
      <c r="Z94" s="58"/>
      <c r="AA94" s="58"/>
      <c r="AB94" s="58"/>
    </row>
    <row r="95" spans="2:28" ht="14.45" x14ac:dyDescent="0.3">
      <c r="D95">
        <f>2*D94</f>
        <v>30</v>
      </c>
      <c r="E95" t="s">
        <v>21</v>
      </c>
      <c r="F95">
        <f>F94</f>
        <v>13</v>
      </c>
      <c r="G95">
        <f>H26</f>
        <v>0</v>
      </c>
      <c r="Q95" s="58"/>
      <c r="R95" s="58"/>
      <c r="S95" s="79" t="s">
        <v>155</v>
      </c>
      <c r="T95" s="58"/>
      <c r="U95" s="58"/>
      <c r="V95" s="58"/>
      <c r="W95" s="58"/>
      <c r="X95" s="58"/>
      <c r="Y95" s="58"/>
      <c r="Z95" s="58"/>
      <c r="AA95" s="58"/>
      <c r="AB95" s="58"/>
    </row>
    <row r="96" spans="2:28" ht="14.45" x14ac:dyDescent="0.3"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</row>
    <row r="97" spans="2:28" ht="14.45" x14ac:dyDescent="0.3">
      <c r="D97">
        <f>(D94-F94)/(D95-F95-G95)</f>
        <v>0.11764705882352941</v>
      </c>
      <c r="E97" s="14">
        <f>H94</f>
        <v>0.75</v>
      </c>
      <c r="Q97" s="58"/>
      <c r="R97" s="58" t="s">
        <v>156</v>
      </c>
      <c r="S97" s="58"/>
      <c r="T97" s="58" t="s">
        <v>63</v>
      </c>
      <c r="U97" s="58" t="s">
        <v>157</v>
      </c>
      <c r="V97" s="58" t="s">
        <v>21</v>
      </c>
      <c r="W97" s="58" t="s">
        <v>158</v>
      </c>
      <c r="X97" s="58"/>
      <c r="Y97" s="58"/>
      <c r="Z97" s="58"/>
      <c r="AA97" s="58"/>
      <c r="AB97" s="58"/>
    </row>
    <row r="98" spans="2:28" ht="14.45" x14ac:dyDescent="0.3">
      <c r="B98">
        <f>B94</f>
        <v>3.25</v>
      </c>
      <c r="C98" t="s">
        <v>63</v>
      </c>
      <c r="D98">
        <f>D97*E97</f>
        <v>8.8235294117647051E-2</v>
      </c>
      <c r="E98" t="s">
        <v>14</v>
      </c>
      <c r="F98" s="75">
        <f>D98+B98</f>
        <v>3.3382352941176472</v>
      </c>
      <c r="Q98" s="58"/>
      <c r="R98" s="58"/>
      <c r="S98" s="58">
        <v>1</v>
      </c>
      <c r="T98" s="58"/>
      <c r="U98" s="78"/>
      <c r="V98" s="78"/>
      <c r="W98" s="78"/>
      <c r="X98" s="78"/>
      <c r="Y98" s="78">
        <v>1</v>
      </c>
      <c r="Z98" s="58" t="s">
        <v>160</v>
      </c>
      <c r="AA98" s="58"/>
      <c r="AB98" s="58"/>
    </row>
    <row r="99" spans="2:28" ht="14.45" x14ac:dyDescent="0.3">
      <c r="Q99" s="58"/>
      <c r="R99" s="58"/>
      <c r="S99" s="58"/>
      <c r="T99" s="58"/>
      <c r="U99" s="58"/>
      <c r="V99" s="58"/>
      <c r="W99" s="58" t="s">
        <v>159</v>
      </c>
      <c r="X99" s="58"/>
      <c r="Y99" s="58"/>
      <c r="Z99" s="58"/>
      <c r="AA99" s="58"/>
      <c r="AB99" s="58"/>
    </row>
    <row r="100" spans="2:28" ht="14.45" x14ac:dyDescent="0.3"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</row>
    <row r="101" spans="2:28" ht="14.45" x14ac:dyDescent="0.3"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</row>
    <row r="102" spans="2:28" ht="14.45" x14ac:dyDescent="0.3">
      <c r="B102" t="s">
        <v>138</v>
      </c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</row>
    <row r="103" spans="2:28" ht="14.45" x14ac:dyDescent="0.3"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</row>
    <row r="104" spans="2:28" ht="14.45" x14ac:dyDescent="0.3">
      <c r="C104" t="s">
        <v>11</v>
      </c>
      <c r="D104" t="s">
        <v>150</v>
      </c>
      <c r="E104" t="s">
        <v>55</v>
      </c>
      <c r="F104" t="s">
        <v>189</v>
      </c>
      <c r="G104" t="s">
        <v>190</v>
      </c>
      <c r="H104" t="s">
        <v>15</v>
      </c>
      <c r="I104" t="s">
        <v>191</v>
      </c>
      <c r="Q104" s="58"/>
      <c r="R104" s="58">
        <f>R80-0.5</f>
        <v>2.5</v>
      </c>
      <c r="S104" s="58" t="s">
        <v>63</v>
      </c>
      <c r="T104" s="78">
        <f>T91</f>
        <v>30</v>
      </c>
      <c r="U104" s="78" t="s">
        <v>21</v>
      </c>
      <c r="V104" s="78">
        <f>SUM(U78:U79)</f>
        <v>27</v>
      </c>
      <c r="W104" s="58">
        <f>S80-R80</f>
        <v>1</v>
      </c>
      <c r="X104" s="58"/>
      <c r="Y104" s="58"/>
      <c r="Z104" s="58"/>
      <c r="AA104" s="58"/>
      <c r="AB104" s="58"/>
    </row>
    <row r="105" spans="2:28" ht="14.45" x14ac:dyDescent="0.3">
      <c r="C105">
        <v>1</v>
      </c>
      <c r="D105">
        <f>$J$33</f>
        <v>3.65</v>
      </c>
      <c r="E105">
        <f>L22</f>
        <v>1.375</v>
      </c>
      <c r="F105">
        <f>D105-E105</f>
        <v>2.2749999999999999</v>
      </c>
      <c r="G105">
        <f>POWER(F105,2)</f>
        <v>5.1756249999999993</v>
      </c>
      <c r="H105">
        <f>H22</f>
        <v>6</v>
      </c>
      <c r="I105">
        <f>G105*H105</f>
        <v>31.053749999999994</v>
      </c>
      <c r="Q105" s="58"/>
      <c r="R105" s="58"/>
      <c r="S105" s="58"/>
      <c r="T105" s="58"/>
      <c r="U105" s="58">
        <f>U80</f>
        <v>15</v>
      </c>
      <c r="V105" s="58"/>
      <c r="W105" s="58"/>
      <c r="X105" s="58"/>
      <c r="Y105" s="58"/>
      <c r="Z105" s="58"/>
      <c r="AA105" s="58"/>
      <c r="AB105" s="58"/>
    </row>
    <row r="106" spans="2:28" ht="14.45" x14ac:dyDescent="0.3">
      <c r="C106">
        <v>2</v>
      </c>
      <c r="D106">
        <f t="shared" ref="D106:D112" si="19">$J$33</f>
        <v>3.65</v>
      </c>
      <c r="E106">
        <f t="shared" ref="E106:E112" si="20">L23</f>
        <v>2.125</v>
      </c>
      <c r="F106">
        <f t="shared" ref="F106:F108" si="21">D106-E106</f>
        <v>1.5249999999999999</v>
      </c>
      <c r="G106">
        <f t="shared" ref="G106:G112" si="22">POWER(F106,2)</f>
        <v>2.3256249999999996</v>
      </c>
      <c r="H106">
        <f t="shared" ref="H106:H112" si="23">H23</f>
        <v>8</v>
      </c>
      <c r="I106">
        <f t="shared" ref="I106:I112" si="24">G106*H106</f>
        <v>18.604999999999997</v>
      </c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</row>
    <row r="107" spans="2:28" ht="14.45" x14ac:dyDescent="0.3">
      <c r="C107">
        <v>3</v>
      </c>
      <c r="D107">
        <f t="shared" si="19"/>
        <v>3.65</v>
      </c>
      <c r="E107">
        <f t="shared" si="20"/>
        <v>2.875</v>
      </c>
      <c r="F107">
        <f t="shared" si="21"/>
        <v>0.77499999999999991</v>
      </c>
      <c r="G107">
        <f t="shared" si="22"/>
        <v>0.60062499999999985</v>
      </c>
      <c r="H107">
        <f t="shared" si="23"/>
        <v>13</v>
      </c>
      <c r="I107">
        <f t="shared" si="24"/>
        <v>7.8081249999999978</v>
      </c>
      <c r="Q107" s="58"/>
      <c r="R107" s="58"/>
      <c r="S107" s="58"/>
      <c r="T107" s="58">
        <f>(T104-V104)/U105</f>
        <v>0.2</v>
      </c>
      <c r="U107" s="58">
        <f>W104</f>
        <v>1</v>
      </c>
      <c r="V107" s="58"/>
      <c r="W107" s="58"/>
      <c r="X107" s="58"/>
      <c r="Y107" s="58"/>
      <c r="Z107" s="58"/>
      <c r="AA107" s="58"/>
      <c r="AB107" s="58"/>
    </row>
    <row r="108" spans="2:28" ht="14.45" x14ac:dyDescent="0.3">
      <c r="C108">
        <v>4</v>
      </c>
      <c r="D108">
        <f t="shared" si="19"/>
        <v>3.65</v>
      </c>
      <c r="E108">
        <f t="shared" si="20"/>
        <v>3.625</v>
      </c>
      <c r="F108">
        <f t="shared" si="21"/>
        <v>2.4999999999999911E-2</v>
      </c>
      <c r="G108">
        <f t="shared" si="22"/>
        <v>6.2499999999999557E-4</v>
      </c>
      <c r="H108">
        <f t="shared" si="23"/>
        <v>15</v>
      </c>
      <c r="I108">
        <f t="shared" si="24"/>
        <v>9.3749999999999337E-3</v>
      </c>
      <c r="Q108" s="58"/>
      <c r="R108" s="58">
        <f>R104</f>
        <v>2.5</v>
      </c>
      <c r="S108" s="58" t="s">
        <v>63</v>
      </c>
      <c r="T108" s="58">
        <f>T107*U107</f>
        <v>0.2</v>
      </c>
      <c r="U108" s="58" t="s">
        <v>14</v>
      </c>
      <c r="V108" s="75">
        <f>T108+R108</f>
        <v>2.7</v>
      </c>
      <c r="W108" s="58"/>
      <c r="X108" s="58"/>
      <c r="Y108" s="58"/>
      <c r="Z108" s="58"/>
      <c r="AA108" s="58"/>
      <c r="AB108" s="58"/>
    </row>
    <row r="109" spans="2:28" ht="14.45" x14ac:dyDescent="0.3">
      <c r="C109">
        <v>5</v>
      </c>
      <c r="D109">
        <f t="shared" si="19"/>
        <v>3.65</v>
      </c>
      <c r="E109">
        <f t="shared" si="20"/>
        <v>4.375</v>
      </c>
      <c r="F109">
        <f>E109-D109</f>
        <v>0.72500000000000009</v>
      </c>
      <c r="G109">
        <f t="shared" si="22"/>
        <v>0.52562500000000012</v>
      </c>
      <c r="H109">
        <f t="shared" si="23"/>
        <v>0</v>
      </c>
      <c r="I109">
        <f t="shared" si="24"/>
        <v>0</v>
      </c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</row>
    <row r="110" spans="2:28" ht="14.45" x14ac:dyDescent="0.3">
      <c r="C110">
        <v>6</v>
      </c>
      <c r="D110">
        <f t="shared" si="19"/>
        <v>3.65</v>
      </c>
      <c r="E110">
        <f t="shared" si="20"/>
        <v>5.125</v>
      </c>
      <c r="F110">
        <f t="shared" ref="F110:F112" si="25">E110-D110</f>
        <v>1.4750000000000001</v>
      </c>
      <c r="G110">
        <f t="shared" si="22"/>
        <v>2.1756250000000001</v>
      </c>
      <c r="H110">
        <f t="shared" si="23"/>
        <v>9</v>
      </c>
      <c r="I110">
        <f t="shared" si="24"/>
        <v>19.580625000000001</v>
      </c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</row>
    <row r="111" spans="2:28" ht="14.45" x14ac:dyDescent="0.3">
      <c r="C111">
        <v>7</v>
      </c>
      <c r="D111">
        <f t="shared" si="19"/>
        <v>3.65</v>
      </c>
      <c r="E111">
        <f t="shared" si="20"/>
        <v>5.875</v>
      </c>
      <c r="F111">
        <f t="shared" si="25"/>
        <v>2.2250000000000001</v>
      </c>
      <c r="G111">
        <f t="shared" si="22"/>
        <v>4.9506250000000005</v>
      </c>
      <c r="H111">
        <f t="shared" si="23"/>
        <v>5</v>
      </c>
      <c r="I111">
        <f t="shared" si="24"/>
        <v>24.753125000000004</v>
      </c>
      <c r="Q111" s="58"/>
      <c r="R111" s="58"/>
      <c r="S111" s="58" t="s">
        <v>43</v>
      </c>
      <c r="T111" s="58"/>
      <c r="U111" s="58"/>
      <c r="V111" s="58"/>
      <c r="W111" s="58"/>
      <c r="X111" s="58"/>
      <c r="Y111" s="58"/>
      <c r="Z111" s="58"/>
      <c r="AA111" s="58"/>
      <c r="AB111" s="58"/>
    </row>
    <row r="112" spans="2:28" ht="14.45" x14ac:dyDescent="0.3">
      <c r="C112">
        <v>8</v>
      </c>
      <c r="D112">
        <f t="shared" si="19"/>
        <v>3.65</v>
      </c>
      <c r="E112">
        <f t="shared" si="20"/>
        <v>6.625</v>
      </c>
      <c r="F112">
        <f t="shared" si="25"/>
        <v>2.9750000000000001</v>
      </c>
      <c r="G112">
        <f t="shared" si="22"/>
        <v>8.8506250000000009</v>
      </c>
      <c r="H112">
        <f t="shared" si="23"/>
        <v>4</v>
      </c>
      <c r="I112" s="1">
        <f t="shared" si="24"/>
        <v>35.402500000000003</v>
      </c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</row>
    <row r="113" spans="3:28" ht="14.45" x14ac:dyDescent="0.3">
      <c r="I113">
        <f>SUM(I105:I112)</f>
        <v>137.21250000000001</v>
      </c>
      <c r="Q113" s="58"/>
      <c r="R113" s="58" t="s">
        <v>167</v>
      </c>
      <c r="S113" s="78" t="s">
        <v>168</v>
      </c>
      <c r="T113" s="78"/>
      <c r="U113" s="78"/>
      <c r="V113" s="78"/>
      <c r="W113" s="58"/>
      <c r="X113" s="58" t="s">
        <v>170</v>
      </c>
      <c r="Y113" s="58"/>
      <c r="Z113" s="58"/>
      <c r="AA113" s="58"/>
      <c r="AB113" s="58"/>
    </row>
    <row r="114" spans="3:28" ht="14.45" x14ac:dyDescent="0.3">
      <c r="Q114" s="58"/>
      <c r="R114" s="58"/>
      <c r="S114" s="58" t="s">
        <v>169</v>
      </c>
      <c r="T114" s="58"/>
      <c r="U114" s="58"/>
      <c r="V114" s="58"/>
      <c r="W114" s="58"/>
      <c r="X114" s="58"/>
      <c r="Y114" s="58"/>
      <c r="Z114" s="58"/>
      <c r="AA114" s="58"/>
      <c r="AB114" s="58"/>
    </row>
    <row r="115" spans="3:28" ht="14.45" x14ac:dyDescent="0.3">
      <c r="C115" t="s">
        <v>148</v>
      </c>
      <c r="D115">
        <f>I113</f>
        <v>137.21250000000001</v>
      </c>
      <c r="E115">
        <f>D115/D116</f>
        <v>2.2868750000000002</v>
      </c>
      <c r="G115">
        <f>SQRT(E115)</f>
        <v>1.5122417134836614</v>
      </c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</row>
    <row r="116" spans="3:28" ht="14.45" x14ac:dyDescent="0.3">
      <c r="D116">
        <v>60</v>
      </c>
      <c r="Q116" s="58"/>
      <c r="R116" s="58">
        <f>R80</f>
        <v>3</v>
      </c>
      <c r="S116" s="58" t="s">
        <v>63</v>
      </c>
      <c r="T116" s="78">
        <f>U80</f>
        <v>15</v>
      </c>
      <c r="U116" s="78" t="s">
        <v>21</v>
      </c>
      <c r="V116" s="78">
        <f>U79</f>
        <v>13</v>
      </c>
      <c r="W116" s="78"/>
      <c r="X116" s="78"/>
      <c r="Y116" s="58">
        <f>(S81-R81)</f>
        <v>1</v>
      </c>
      <c r="Z116" s="58"/>
      <c r="AA116" s="58"/>
      <c r="AB116" s="58"/>
    </row>
    <row r="117" spans="3:28" ht="14.45" x14ac:dyDescent="0.3">
      <c r="Q117" s="58"/>
      <c r="R117" s="58"/>
      <c r="S117" s="58"/>
      <c r="T117" s="58">
        <f>2*T116</f>
        <v>30</v>
      </c>
      <c r="U117" s="58" t="s">
        <v>21</v>
      </c>
      <c r="V117" s="58">
        <f>U79</f>
        <v>13</v>
      </c>
      <c r="W117" s="58" t="s">
        <v>21</v>
      </c>
      <c r="X117" s="58">
        <f>U81</f>
        <v>9</v>
      </c>
      <c r="Y117" s="58"/>
      <c r="Z117" s="58"/>
      <c r="AA117" s="58"/>
      <c r="AB117" s="58"/>
    </row>
    <row r="118" spans="3:28" ht="14.45" x14ac:dyDescent="0.3">
      <c r="C118" t="s">
        <v>140</v>
      </c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</row>
    <row r="119" spans="3:28" ht="14.45" x14ac:dyDescent="0.3">
      <c r="D119">
        <f>POWER(G115,2)</f>
        <v>2.2868750000000002</v>
      </c>
      <c r="Q119" s="58"/>
      <c r="R119" s="58"/>
      <c r="S119" s="58"/>
      <c r="T119" s="58">
        <f>(T116-V116)/(T117-V117-X117)</f>
        <v>0.25</v>
      </c>
      <c r="U119" s="58">
        <f>Y116</f>
        <v>1</v>
      </c>
      <c r="V119" s="58"/>
      <c r="W119" s="58"/>
      <c r="X119" s="58"/>
      <c r="Y119" s="58"/>
      <c r="Z119" s="58"/>
      <c r="AA119" s="58"/>
      <c r="AB119" s="58"/>
    </row>
    <row r="120" spans="3:28" ht="14.45" x14ac:dyDescent="0.3">
      <c r="Q120" s="58"/>
      <c r="R120" s="58">
        <f>R116</f>
        <v>3</v>
      </c>
      <c r="S120" s="58" t="s">
        <v>63</v>
      </c>
      <c r="T120" s="58">
        <f>T119*U119</f>
        <v>0.25</v>
      </c>
      <c r="U120" s="58" t="s">
        <v>14</v>
      </c>
      <c r="V120" s="75">
        <f>T120+R120</f>
        <v>3.25</v>
      </c>
      <c r="W120" s="58"/>
      <c r="X120" s="58"/>
      <c r="Y120" s="58"/>
      <c r="Z120" s="58"/>
      <c r="AA120" s="58"/>
      <c r="AB120" s="58"/>
    </row>
    <row r="121" spans="3:28" ht="14.45" x14ac:dyDescent="0.3">
      <c r="C121" t="s">
        <v>192</v>
      </c>
      <c r="F121">
        <v>7</v>
      </c>
      <c r="G121" t="s">
        <v>21</v>
      </c>
      <c r="H121">
        <v>1</v>
      </c>
      <c r="I121" t="s">
        <v>14</v>
      </c>
      <c r="J121">
        <v>6</v>
      </c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</row>
    <row r="122" spans="3:28" ht="14.45" x14ac:dyDescent="0.3">
      <c r="C122" t="s">
        <v>136</v>
      </c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</row>
    <row r="123" spans="3:28" ht="14.45" x14ac:dyDescent="0.3">
      <c r="C123" t="s">
        <v>11</v>
      </c>
      <c r="D123" t="s">
        <v>150</v>
      </c>
      <c r="E123" t="s">
        <v>55</v>
      </c>
      <c r="F123" t="s">
        <v>189</v>
      </c>
      <c r="G123" t="s">
        <v>15</v>
      </c>
      <c r="H123" t="s">
        <v>193</v>
      </c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</row>
    <row r="124" spans="3:28" ht="14.45" x14ac:dyDescent="0.3">
      <c r="C124">
        <v>1</v>
      </c>
      <c r="D124">
        <f>$J$33</f>
        <v>3.65</v>
      </c>
      <c r="E124">
        <f>E105</f>
        <v>1.375</v>
      </c>
      <c r="F124">
        <f>D124-E124</f>
        <v>2.2749999999999999</v>
      </c>
      <c r="G124">
        <f>H105</f>
        <v>6</v>
      </c>
      <c r="H124">
        <f>F124*G124</f>
        <v>13.649999999999999</v>
      </c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</row>
    <row r="125" spans="3:28" ht="14.45" x14ac:dyDescent="0.3">
      <c r="C125">
        <v>2</v>
      </c>
      <c r="D125">
        <f t="shared" ref="D125:D131" si="26">$J$33</f>
        <v>3.65</v>
      </c>
      <c r="E125">
        <f t="shared" ref="E125:E131" si="27">E106</f>
        <v>2.125</v>
      </c>
      <c r="F125">
        <f t="shared" ref="F125:F127" si="28">D125-E125</f>
        <v>1.5249999999999999</v>
      </c>
      <c r="G125">
        <f t="shared" ref="G125:G131" si="29">H106</f>
        <v>8</v>
      </c>
      <c r="H125">
        <f t="shared" ref="H125:H131" si="30">F125*G125</f>
        <v>12.2</v>
      </c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</row>
    <row r="126" spans="3:28" ht="14.45" x14ac:dyDescent="0.3">
      <c r="C126">
        <v>3</v>
      </c>
      <c r="D126">
        <f t="shared" si="26"/>
        <v>3.65</v>
      </c>
      <c r="E126">
        <f t="shared" si="27"/>
        <v>2.875</v>
      </c>
      <c r="F126">
        <f t="shared" si="28"/>
        <v>0.77499999999999991</v>
      </c>
      <c r="G126">
        <f t="shared" si="29"/>
        <v>13</v>
      </c>
      <c r="H126">
        <f t="shared" si="30"/>
        <v>10.074999999999999</v>
      </c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</row>
    <row r="127" spans="3:28" ht="14.45" x14ac:dyDescent="0.3">
      <c r="C127">
        <v>4</v>
      </c>
      <c r="D127">
        <f t="shared" si="26"/>
        <v>3.65</v>
      </c>
      <c r="E127">
        <f t="shared" si="27"/>
        <v>3.625</v>
      </c>
      <c r="F127">
        <f t="shared" si="28"/>
        <v>2.4999999999999911E-2</v>
      </c>
      <c r="G127">
        <f t="shared" si="29"/>
        <v>15</v>
      </c>
      <c r="H127">
        <f t="shared" si="30"/>
        <v>0.37499999999999867</v>
      </c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</row>
    <row r="128" spans="3:28" ht="14.45" x14ac:dyDescent="0.3">
      <c r="C128">
        <v>5</v>
      </c>
      <c r="D128">
        <f t="shared" si="26"/>
        <v>3.65</v>
      </c>
      <c r="E128">
        <f t="shared" si="27"/>
        <v>4.375</v>
      </c>
      <c r="F128">
        <f>E128-D128</f>
        <v>0.72500000000000009</v>
      </c>
      <c r="G128">
        <f t="shared" si="29"/>
        <v>0</v>
      </c>
      <c r="H128">
        <f t="shared" si="30"/>
        <v>0</v>
      </c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</row>
    <row r="129" spans="3:28" ht="14.45" x14ac:dyDescent="0.3">
      <c r="C129">
        <v>6</v>
      </c>
      <c r="D129">
        <f t="shared" si="26"/>
        <v>3.65</v>
      </c>
      <c r="E129">
        <f t="shared" si="27"/>
        <v>5.125</v>
      </c>
      <c r="F129">
        <f t="shared" ref="F129:F131" si="31">E129-D129</f>
        <v>1.4750000000000001</v>
      </c>
      <c r="G129">
        <f t="shared" si="29"/>
        <v>9</v>
      </c>
      <c r="H129">
        <f t="shared" si="30"/>
        <v>13.275</v>
      </c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</row>
    <row r="130" spans="3:28" ht="14.45" x14ac:dyDescent="0.3">
      <c r="C130">
        <v>7</v>
      </c>
      <c r="D130">
        <f t="shared" si="26"/>
        <v>3.65</v>
      </c>
      <c r="E130">
        <f t="shared" si="27"/>
        <v>5.875</v>
      </c>
      <c r="F130">
        <f t="shared" si="31"/>
        <v>2.2250000000000001</v>
      </c>
      <c r="G130">
        <f t="shared" si="29"/>
        <v>5</v>
      </c>
      <c r="H130">
        <f t="shared" si="30"/>
        <v>11.125</v>
      </c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</row>
    <row r="131" spans="3:28" ht="14.45" x14ac:dyDescent="0.3">
      <c r="C131">
        <v>8</v>
      </c>
      <c r="D131">
        <f t="shared" si="26"/>
        <v>3.65</v>
      </c>
      <c r="E131">
        <f t="shared" si="27"/>
        <v>6.625</v>
      </c>
      <c r="F131">
        <f t="shared" si="31"/>
        <v>2.9750000000000001</v>
      </c>
      <c r="G131">
        <f t="shared" si="29"/>
        <v>4</v>
      </c>
      <c r="H131" s="1">
        <f t="shared" si="30"/>
        <v>11.9</v>
      </c>
    </row>
    <row r="132" spans="3:28" ht="14.45" x14ac:dyDescent="0.3">
      <c r="H132">
        <f>SUM(H124:H131)</f>
        <v>72.599999999999994</v>
      </c>
    </row>
    <row r="134" spans="3:28" ht="14.45" x14ac:dyDescent="0.3">
      <c r="D134" t="s">
        <v>147</v>
      </c>
      <c r="E134">
        <f>H132</f>
        <v>72.599999999999994</v>
      </c>
      <c r="F134">
        <f>E134/E135</f>
        <v>1.21</v>
      </c>
    </row>
    <row r="135" spans="3:28" ht="14.45" x14ac:dyDescent="0.3">
      <c r="E135">
        <v>60</v>
      </c>
    </row>
  </sheetData>
  <pageMargins left="0.7" right="0.7" top="0.75" bottom="0.75" header="0.3" footer="0.3"/>
  <pageSetup scale="25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25" workbookViewId="0"/>
  </sheetViews>
  <sheetFormatPr baseColWidth="10" defaultRowHeight="15" x14ac:dyDescent="0.25"/>
  <sheetData>
    <row r="2" spans="2:2" x14ac:dyDescent="0.3">
      <c r="B2" t="s">
        <v>118</v>
      </c>
    </row>
    <row r="3" spans="2:2" x14ac:dyDescent="0.3">
      <c r="B3" t="s">
        <v>119</v>
      </c>
    </row>
    <row r="5" spans="2:2" x14ac:dyDescent="0.3">
      <c r="B5" t="s">
        <v>120</v>
      </c>
    </row>
    <row r="6" spans="2:2" x14ac:dyDescent="0.3">
      <c r="B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Gráficos</vt:lpstr>
      </vt:variant>
      <vt:variant>
        <vt:i4>1</vt:i4>
      </vt:variant>
    </vt:vector>
  </HeadingPairs>
  <TitlesOfParts>
    <vt:vector size="16" baseType="lpstr">
      <vt:lpstr>DISTRIBUCION DE FRECUENCIAS</vt:lpstr>
      <vt:lpstr>Media, mediana y moda no agrupa</vt:lpstr>
      <vt:lpstr>media mediana moda agrupados</vt:lpstr>
      <vt:lpstr>SUMATORIA</vt:lpstr>
      <vt:lpstr>media arirmética</vt:lpstr>
      <vt:lpstr>avances</vt:lpstr>
      <vt:lpstr>MEDIANA</vt:lpstr>
      <vt:lpstr>1er parcial</vt:lpstr>
      <vt:lpstr>BIMODAL</vt:lpstr>
      <vt:lpstr>3er  parcial cedva</vt:lpstr>
      <vt:lpstr>Hoja1</vt:lpstr>
      <vt:lpstr>Hoja2</vt:lpstr>
      <vt:lpstr>temperatura grados fahrenheit</vt:lpstr>
      <vt:lpstr>medidas de dispersion</vt:lpstr>
      <vt:lpstr>HEMOGLOBINA 75 DIABÉTICOS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PerlaP</dc:creator>
  <cp:lastModifiedBy>PERLA</cp:lastModifiedBy>
  <cp:lastPrinted>2019-11-28T09:40:34Z</cp:lastPrinted>
  <dcterms:created xsi:type="dcterms:W3CDTF">2018-09-18T18:27:57Z</dcterms:created>
  <dcterms:modified xsi:type="dcterms:W3CDTF">2026-04-07T23:41:01Z</dcterms:modified>
</cp:coreProperties>
</file>